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E5CF8F3F-F3FF-4ADD-AF43-EF29A724DF32}" xr6:coauthVersionLast="36" xr6:coauthVersionMax="36" xr10:uidLastSave="{00000000-0000-0000-0000-000000000000}"/>
  <bookViews>
    <workbookView xWindow="0" yWindow="0" windowWidth="28800" windowHeight="12105" activeTab="1" xr2:uid="{5BCD358A-EC18-8048-86D9-D35110F55CD2}"/>
  </bookViews>
  <sheets>
    <sheet name="Instrucciones" sheetId="7" r:id="rId1"/>
    <sheet name="Autobaremo" sheetId="1" r:id="rId2"/>
    <sheet name="Adaptación" sheetId="5" r:id="rId3"/>
  </sheets>
  <definedNames>
    <definedName name="_xlnm._FilterDatabase" localSheetId="2" hidden="1">Adaptación!$B$14:$F$83</definedName>
    <definedName name="_xlnm._FilterDatabase" localSheetId="1" hidden="1">Autobaremo!$D$88:$K$94</definedName>
    <definedName name="_xlnm.Print_Area" localSheetId="2">Adaptación!$B$2:$R$121</definedName>
    <definedName name="_xlnm.Print_Titles" localSheetId="2">Adaptación!$14:$14</definedName>
    <definedName name="_xlnm.Print_Titles" localSheetId="1">Autobaremo!$9:$9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5" l="1"/>
  <c r="N15" i="5" l="1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5" i="5"/>
  <c r="N47" i="5"/>
  <c r="N48" i="5"/>
  <c r="N49" i="5"/>
  <c r="N52" i="5"/>
  <c r="N54" i="5"/>
  <c r="N55" i="5"/>
  <c r="N56" i="5"/>
  <c r="N57" i="5"/>
  <c r="N58" i="5"/>
  <c r="N60" i="5"/>
  <c r="N61" i="5"/>
  <c r="N62" i="5"/>
  <c r="N64" i="5"/>
  <c r="N65" i="5"/>
  <c r="N66" i="5"/>
  <c r="N67" i="5"/>
  <c r="N68" i="5"/>
  <c r="N70" i="5"/>
  <c r="N72" i="5"/>
  <c r="N73" i="5"/>
  <c r="N74" i="5"/>
  <c r="N75" i="5"/>
  <c r="N76" i="5"/>
  <c r="N77" i="5"/>
  <c r="N78" i="5"/>
  <c r="N80" i="5"/>
  <c r="N81" i="5"/>
  <c r="N82" i="5"/>
  <c r="N83" i="5"/>
  <c r="N10" i="5"/>
  <c r="C8" i="5" l="1"/>
  <c r="B85" i="5" s="1"/>
  <c r="E9" i="5"/>
  <c r="B86" i="5" s="1"/>
  <c r="I51" i="5"/>
  <c r="F5" i="5"/>
  <c r="C9" i="5"/>
  <c r="I53" i="5"/>
  <c r="K74" i="1" l="1"/>
  <c r="Y6" i="5" l="1"/>
  <c r="K44" i="1" l="1"/>
  <c r="I34" i="5" l="1"/>
  <c r="E34" i="5" s="1"/>
  <c r="I75" i="5"/>
  <c r="E75" i="5" s="1"/>
  <c r="I78" i="5"/>
  <c r="E78" i="5" s="1"/>
  <c r="I74" i="5"/>
  <c r="E74" i="5" s="1"/>
  <c r="I77" i="5"/>
  <c r="E77" i="5" s="1"/>
  <c r="I73" i="5"/>
  <c r="E73" i="5" s="1"/>
  <c r="I67" i="5"/>
  <c r="E67" i="5" s="1"/>
  <c r="I68" i="5"/>
  <c r="I65" i="5"/>
  <c r="E65" i="5" s="1"/>
  <c r="I63" i="5"/>
  <c r="I56" i="5"/>
  <c r="E56" i="5" s="1"/>
  <c r="I57" i="5"/>
  <c r="E57" i="5" s="1"/>
  <c r="I55" i="5"/>
  <c r="E55" i="5" s="1"/>
  <c r="I58" i="5"/>
  <c r="I71" i="5"/>
  <c r="I76" i="5"/>
  <c r="E76" i="5" s="1"/>
  <c r="I72" i="5"/>
  <c r="I54" i="5"/>
  <c r="I66" i="5"/>
  <c r="E66" i="5" s="1"/>
  <c r="I70" i="5"/>
  <c r="L70" i="5" s="1"/>
  <c r="I52" i="5"/>
  <c r="L52" i="5" s="1"/>
  <c r="I43" i="5"/>
  <c r="I40" i="5"/>
  <c r="E40" i="5" s="1"/>
  <c r="I42" i="5"/>
  <c r="E42" i="5" s="1"/>
  <c r="I33" i="5"/>
  <c r="E33" i="5" s="1"/>
  <c r="I38" i="5"/>
  <c r="E38" i="5" s="1"/>
  <c r="I32" i="5"/>
  <c r="E32" i="5" s="1"/>
  <c r="I24" i="5"/>
  <c r="E24" i="5" s="1"/>
  <c r="I41" i="5"/>
  <c r="I37" i="5"/>
  <c r="E37" i="5" s="1"/>
  <c r="I31" i="5"/>
  <c r="E31" i="5" s="1"/>
  <c r="I36" i="5"/>
  <c r="E36" i="5" s="1"/>
  <c r="J81" i="5"/>
  <c r="I30" i="5"/>
  <c r="E30" i="5" s="1"/>
  <c r="J80" i="5"/>
  <c r="I29" i="5"/>
  <c r="E29" i="5" s="1"/>
  <c r="I28" i="5"/>
  <c r="E28" i="5" s="1"/>
  <c r="I22" i="5"/>
  <c r="E22" i="5" s="1"/>
  <c r="I26" i="5"/>
  <c r="E26" i="5" s="1"/>
  <c r="I39" i="5"/>
  <c r="E39" i="5" s="1"/>
  <c r="I23" i="5"/>
  <c r="E23" i="5" s="1"/>
  <c r="I27" i="5"/>
  <c r="E27" i="5" s="1"/>
  <c r="I21" i="5"/>
  <c r="E21" i="5" s="1"/>
  <c r="J25" i="5"/>
  <c r="I64" i="5"/>
  <c r="E64" i="5" s="1"/>
  <c r="I62" i="5"/>
  <c r="I61" i="5"/>
  <c r="E61" i="5" s="1"/>
  <c r="I60" i="5"/>
  <c r="I45" i="5"/>
  <c r="I44" i="5"/>
  <c r="E44" i="5" s="1"/>
  <c r="I20" i="5"/>
  <c r="E20" i="5" s="1"/>
  <c r="I19" i="5"/>
  <c r="E19" i="5" s="1"/>
  <c r="I18" i="5"/>
  <c r="E18" i="5" s="1"/>
  <c r="I17" i="5"/>
  <c r="E17" i="5" s="1"/>
  <c r="I16" i="5"/>
  <c r="E16" i="5" s="1"/>
  <c r="I15" i="5"/>
  <c r="E15" i="5" s="1"/>
  <c r="K63" i="1"/>
  <c r="K62" i="1"/>
  <c r="K61" i="1"/>
  <c r="K60" i="1"/>
  <c r="K10" i="1"/>
  <c r="K11" i="1"/>
  <c r="K13" i="1"/>
  <c r="K14" i="1"/>
  <c r="K15" i="1"/>
  <c r="K16" i="1"/>
  <c r="K17" i="1"/>
  <c r="K18" i="1"/>
  <c r="K19" i="1"/>
  <c r="K20" i="1"/>
  <c r="K21" i="1"/>
  <c r="K22" i="1"/>
  <c r="K23" i="1"/>
  <c r="K25" i="1"/>
  <c r="K27" i="1"/>
  <c r="K28" i="1"/>
  <c r="K29" i="1"/>
  <c r="K30" i="1"/>
  <c r="K31" i="1"/>
  <c r="K32" i="1"/>
  <c r="K33" i="1"/>
  <c r="K34" i="1"/>
  <c r="K36" i="1"/>
  <c r="K37" i="1"/>
  <c r="K38" i="1"/>
  <c r="K39" i="1"/>
  <c r="K40" i="1"/>
  <c r="K42" i="1"/>
  <c r="K43" i="1"/>
  <c r="K45" i="1"/>
  <c r="K46" i="1"/>
  <c r="K47" i="1"/>
  <c r="K48" i="1"/>
  <c r="K49" i="1"/>
  <c r="K50" i="1"/>
  <c r="K51" i="1"/>
  <c r="K52" i="1"/>
  <c r="K53" i="1"/>
  <c r="K55" i="1"/>
  <c r="K56" i="1"/>
  <c r="K57" i="1"/>
  <c r="K58" i="1"/>
  <c r="K59" i="1"/>
  <c r="K65" i="1"/>
  <c r="K66" i="1"/>
  <c r="K67" i="1"/>
  <c r="K68" i="1"/>
  <c r="K69" i="1"/>
  <c r="K70" i="1"/>
  <c r="K71" i="1"/>
  <c r="K72" i="1"/>
  <c r="K73" i="1"/>
  <c r="D41" i="1"/>
  <c r="D35" i="1"/>
  <c r="D26" i="1"/>
  <c r="D24" i="1"/>
  <c r="Q97" i="5" l="1"/>
  <c r="E45" i="5"/>
  <c r="R97" i="5"/>
  <c r="R96" i="5"/>
  <c r="L3" i="1"/>
  <c r="E58" i="5"/>
  <c r="E41" i="5"/>
  <c r="E68" i="5"/>
  <c r="H72" i="5"/>
  <c r="L72" i="5"/>
  <c r="H60" i="5"/>
  <c r="H54" i="5"/>
  <c r="L54" i="5"/>
  <c r="E72" i="5"/>
  <c r="E62" i="5"/>
  <c r="I50" i="5"/>
  <c r="E70" i="5"/>
  <c r="E52" i="5" s="1"/>
  <c r="I69" i="5"/>
  <c r="E60" i="5"/>
  <c r="I59" i="5"/>
  <c r="U4" i="5"/>
  <c r="K41" i="1"/>
  <c r="K35" i="1"/>
  <c r="K26" i="1"/>
  <c r="K24" i="1"/>
  <c r="I83" i="5"/>
  <c r="E83" i="5" s="1"/>
  <c r="I82" i="5"/>
  <c r="E82" i="5" s="1"/>
  <c r="E43" i="5"/>
  <c r="I81" i="5"/>
  <c r="E81" i="5" s="1"/>
  <c r="I80" i="5"/>
  <c r="E80" i="5" s="1"/>
  <c r="L60" i="5"/>
  <c r="D75" i="1"/>
  <c r="D76" i="1"/>
  <c r="H84" i="1"/>
  <c r="B68" i="1"/>
  <c r="B65" i="1"/>
  <c r="B70" i="1"/>
  <c r="B71" i="1"/>
  <c r="B72" i="1"/>
  <c r="B66" i="1"/>
  <c r="B73" i="1"/>
  <c r="B67" i="1"/>
  <c r="B69" i="1"/>
  <c r="B56" i="1"/>
  <c r="B57" i="1"/>
  <c r="B58" i="1"/>
  <c r="B60" i="1"/>
  <c r="B61" i="1"/>
  <c r="B62" i="1"/>
  <c r="B63" i="1"/>
  <c r="B59" i="1"/>
  <c r="B55" i="1"/>
  <c r="B51" i="1"/>
  <c r="B52" i="1"/>
  <c r="B46" i="1"/>
  <c r="B47" i="1"/>
  <c r="B53" i="1"/>
  <c r="B48" i="1"/>
  <c r="B49" i="1"/>
  <c r="B50" i="1"/>
  <c r="D12" i="1"/>
  <c r="E35" i="5" l="1"/>
  <c r="E54" i="5"/>
  <c r="I8" i="5"/>
  <c r="J50" i="5"/>
  <c r="I10" i="5"/>
  <c r="J69" i="5"/>
  <c r="J59" i="5"/>
  <c r="I9" i="5"/>
  <c r="U89" i="5"/>
  <c r="T90" i="5"/>
  <c r="T89" i="5"/>
  <c r="U90" i="5"/>
  <c r="R90" i="5"/>
  <c r="Q90" i="5"/>
  <c r="R89" i="5"/>
  <c r="Q89" i="5"/>
  <c r="C90" i="5"/>
  <c r="D90" i="5" s="1"/>
  <c r="I25" i="5"/>
  <c r="C89" i="5"/>
  <c r="D89" i="5" s="1"/>
  <c r="F12" i="5"/>
  <c r="C93" i="5"/>
  <c r="E48" i="5"/>
  <c r="I48" i="5" s="1"/>
  <c r="K103" i="5"/>
  <c r="K12" i="1"/>
  <c r="I5" i="5" l="1"/>
  <c r="I6" i="5"/>
  <c r="A69" i="5"/>
  <c r="S90" i="5"/>
  <c r="S89" i="5"/>
  <c r="E25" i="5"/>
  <c r="F6" i="5" l="1"/>
  <c r="P98" i="5" s="1"/>
  <c r="B99" i="5"/>
  <c r="G6" i="5"/>
  <c r="H5" i="5"/>
  <c r="I8" i="1"/>
  <c r="I76" i="1"/>
  <c r="I77" i="1"/>
  <c r="D77" i="1" s="1"/>
  <c r="P95" i="5" l="1"/>
  <c r="L62" i="5"/>
  <c r="G53" i="5"/>
  <c r="M53" i="1" s="1"/>
  <c r="G71" i="5"/>
  <c r="M70" i="1" s="1"/>
  <c r="G51" i="5"/>
  <c r="G63" i="5"/>
  <c r="M61" i="1" s="1"/>
  <c r="B103" i="5"/>
  <c r="B100" i="5"/>
  <c r="F9" i="5"/>
  <c r="I3" i="5"/>
  <c r="D100" i="5"/>
  <c r="G77" i="5"/>
  <c r="M67" i="1" s="1"/>
  <c r="G56" i="5"/>
  <c r="M51" i="1" s="1"/>
  <c r="G73" i="5"/>
  <c r="M66" i="1" s="1"/>
  <c r="G78" i="5"/>
  <c r="M68" i="1" s="1"/>
  <c r="G65" i="5"/>
  <c r="M60" i="1" s="1"/>
  <c r="G75" i="5"/>
  <c r="M72" i="1" s="1"/>
  <c r="G55" i="5"/>
  <c r="M50" i="1" s="1"/>
  <c r="G64" i="5"/>
  <c r="M55" i="1" s="1"/>
  <c r="G68" i="5"/>
  <c r="M59" i="1" s="1"/>
  <c r="G57" i="5"/>
  <c r="M52" i="1" s="1"/>
  <c r="G61" i="5"/>
  <c r="M57" i="1" s="1"/>
  <c r="G74" i="5"/>
  <c r="M69" i="1" s="1"/>
  <c r="G58" i="5"/>
  <c r="M48" i="1" s="1"/>
  <c r="G67" i="5"/>
  <c r="M63" i="1" s="1"/>
  <c r="G76" i="5"/>
  <c r="M73" i="1" s="1"/>
  <c r="G66" i="5"/>
  <c r="M62" i="1" s="1"/>
  <c r="I81" i="1"/>
  <c r="D12" i="5"/>
  <c r="D106" i="5" s="1"/>
  <c r="D89" i="1"/>
  <c r="D90" i="1"/>
  <c r="D91" i="1"/>
  <c r="I80" i="1"/>
  <c r="D92" i="1"/>
  <c r="I92" i="1" s="1"/>
  <c r="F8" i="1"/>
  <c r="R98" i="5" l="1"/>
  <c r="R92" i="5" s="1"/>
  <c r="Q98" i="5"/>
  <c r="Q92" i="5" s="1"/>
  <c r="M46" i="1"/>
  <c r="Q101" i="5"/>
  <c r="L66" i="5"/>
  <c r="L67" i="5"/>
  <c r="L74" i="5"/>
  <c r="L57" i="5"/>
  <c r="L64" i="5"/>
  <c r="L75" i="5"/>
  <c r="L78" i="5"/>
  <c r="L56" i="5"/>
  <c r="L53" i="5"/>
  <c r="L76" i="5"/>
  <c r="L58" i="5"/>
  <c r="L61" i="5"/>
  <c r="L68" i="5"/>
  <c r="L65" i="5"/>
  <c r="L73" i="5"/>
  <c r="L77" i="5"/>
  <c r="L55" i="5"/>
  <c r="C92" i="5"/>
  <c r="L63" i="5"/>
  <c r="L51" i="5"/>
  <c r="H48" i="5"/>
  <c r="H47" i="5"/>
  <c r="B71" i="5"/>
  <c r="N71" i="5" s="1"/>
  <c r="L71" i="5"/>
  <c r="B53" i="5"/>
  <c r="N53" i="5" s="1"/>
  <c r="E71" i="5"/>
  <c r="E63" i="5"/>
  <c r="H49" i="5"/>
  <c r="J84" i="1"/>
  <c r="I85" i="1" s="1"/>
  <c r="J85" i="1" s="1"/>
  <c r="C12" i="5"/>
  <c r="G91" i="1"/>
  <c r="G90" i="1"/>
  <c r="G89" i="1"/>
  <c r="J8" i="1"/>
  <c r="I91" i="1"/>
  <c r="I90" i="1"/>
  <c r="I89" i="1"/>
  <c r="I86" i="1"/>
  <c r="J86" i="1" s="1"/>
  <c r="H92" i="1"/>
  <c r="H93" i="1"/>
  <c r="I93" i="1"/>
  <c r="D93" i="1"/>
  <c r="I79" i="1" l="1"/>
  <c r="D92" i="5"/>
  <c r="H90" i="1"/>
  <c r="H91" i="1"/>
  <c r="H89" i="1"/>
  <c r="K89" i="1"/>
  <c r="I94" i="1"/>
  <c r="B51" i="5" l="1"/>
  <c r="N51" i="5" s="1"/>
  <c r="Q95" i="5" s="1"/>
  <c r="R95" i="5" l="1"/>
  <c r="R91" i="5" s="1"/>
  <c r="E51" i="5"/>
  <c r="B63" i="5"/>
  <c r="N63" i="5" s="1"/>
  <c r="E53" i="5" l="1"/>
  <c r="J49" i="5" l="1"/>
  <c r="E49" i="5" s="1"/>
  <c r="I49" i="5" s="1"/>
  <c r="C102" i="5"/>
  <c r="A102" i="5" s="1"/>
  <c r="A112" i="5"/>
  <c r="C113" i="5" s="1"/>
  <c r="A115" i="5"/>
  <c r="B115" i="5" s="1"/>
  <c r="J47" i="5"/>
  <c r="E47" i="5" s="1"/>
  <c r="I47" i="5" s="1"/>
  <c r="Q96" i="5" l="1"/>
  <c r="Q91" i="5" s="1"/>
  <c r="J48" i="5"/>
  <c r="C91" i="5"/>
  <c r="I78" i="1" s="1"/>
  <c r="E101" i="5"/>
  <c r="C101" i="5" s="1"/>
  <c r="A101" i="5" s="1"/>
  <c r="B112" i="5"/>
  <c r="C116" i="5"/>
  <c r="B119" i="5" l="1"/>
  <c r="D91" i="5" l="1"/>
  <c r="E89" i="5" s="1"/>
  <c r="Q107" i="5" s="1"/>
  <c r="C94" i="5"/>
  <c r="K48" i="5"/>
  <c r="B96" i="5" s="1"/>
  <c r="H82" i="1" s="1"/>
  <c r="A118" i="5"/>
  <c r="B118" i="5"/>
  <c r="C110" i="5" l="1"/>
  <c r="C96" i="5"/>
  <c r="I82" i="1" s="1"/>
  <c r="I106" i="5"/>
  <c r="C106" i="5"/>
  <c r="I7" i="1"/>
  <c r="D13" i="5"/>
  <c r="E13" i="5"/>
  <c r="C119" i="5"/>
  <c r="J7" i="1" l="1"/>
</calcChain>
</file>

<file path=xl/sharedStrings.xml><?xml version="1.0" encoding="utf-8"?>
<sst xmlns="http://schemas.openxmlformats.org/spreadsheetml/2006/main" count="613" uniqueCount="204">
  <si>
    <t>PLAN 2023</t>
  </si>
  <si>
    <t>PLAN 2010</t>
  </si>
  <si>
    <t>ECTS</t>
  </si>
  <si>
    <t>Cálculo</t>
  </si>
  <si>
    <t>Análisis Matemático</t>
  </si>
  <si>
    <t>Álgebra Lineal y Geometría</t>
  </si>
  <si>
    <t>Matemática Aplicada</t>
  </si>
  <si>
    <t>Métodos Numéricos</t>
  </si>
  <si>
    <t>Estadística</t>
  </si>
  <si>
    <t>Fundamentos de Ingeniería Gráfica</t>
  </si>
  <si>
    <t>Ingeniería Gráfica I</t>
  </si>
  <si>
    <t>Fundamentos de Informática</t>
  </si>
  <si>
    <t>Física</t>
  </si>
  <si>
    <t>Mecánica en la Ingeniería</t>
  </si>
  <si>
    <t>Mecánica para Ingenieros</t>
  </si>
  <si>
    <t>Geología</t>
  </si>
  <si>
    <t>Organización y Gestión de Empresas de Ingeniería</t>
  </si>
  <si>
    <t>Organización y Gestión de Empresas Constructoras</t>
  </si>
  <si>
    <t>Ingeniería Geomática, sistemas de información geográfica y topografía</t>
  </si>
  <si>
    <t>Topografía</t>
  </si>
  <si>
    <t>Ciencia y Tecnología de Materiales</t>
  </si>
  <si>
    <t>Teoría de Estructuras</t>
  </si>
  <si>
    <t>Hormigón Armado</t>
  </si>
  <si>
    <t>Estructuras Metálicas</t>
  </si>
  <si>
    <t>Mecánica de Suelos y Rocas</t>
  </si>
  <si>
    <t>Mecánica de Suelos y Rocas. Geotecnia</t>
  </si>
  <si>
    <t>Hidráulica e Hidrología</t>
  </si>
  <si>
    <t>Electrotecnia</t>
  </si>
  <si>
    <t>Evaluación y Gestión Ambiental de Infraestructuras</t>
  </si>
  <si>
    <t>Impacto Ambiental</t>
  </si>
  <si>
    <t>Procedimientos de Construcción I</t>
  </si>
  <si>
    <t>Seguridad y Salud en las Obras de Construcción</t>
  </si>
  <si>
    <t>Organización y Gestión de Proyectos</t>
  </si>
  <si>
    <t>Geometría Diferencial</t>
  </si>
  <si>
    <t>Ampliación de Matemáticas</t>
  </si>
  <si>
    <t>Ingeniería Gráfica Asistida por Ordenador</t>
  </si>
  <si>
    <t>Ingeniería Gráfica II</t>
  </si>
  <si>
    <t>Geotecnia y Cimientos en la Ingeniería Civil</t>
  </si>
  <si>
    <t>Cimientos en la Ingeniería Civil</t>
  </si>
  <si>
    <t>Legislación en la Ingeniería Civil</t>
  </si>
  <si>
    <t>Análisis de Estructuras</t>
  </si>
  <si>
    <t>Planificación Territorial y Urbana</t>
  </si>
  <si>
    <t>Planificación Territorial e Historia de la Ingeniería Civil</t>
  </si>
  <si>
    <t>Comunicación efectiva y Trabajo en Equipo</t>
  </si>
  <si>
    <t>Trabajo Fin de Grado</t>
  </si>
  <si>
    <t>MENCIÓN EN CONSTRUCCIONES CIVILES</t>
  </si>
  <si>
    <t>Edificación</t>
  </si>
  <si>
    <t>Elementos Prefabricados</t>
  </si>
  <si>
    <t>Procedimientos de Construcción II</t>
  </si>
  <si>
    <t>Ingeniería Marítima y Costera</t>
  </si>
  <si>
    <t>Caminos</t>
  </si>
  <si>
    <t>Ferrocarriles</t>
  </si>
  <si>
    <t>Geotecnia de Obras Civiles</t>
  </si>
  <si>
    <t>Ingeniería Sanitaria</t>
  </si>
  <si>
    <t>Ingeniería Sanitaria en la Construcción Civil</t>
  </si>
  <si>
    <t>MENCIÓN EN HIDROLOGÍA</t>
  </si>
  <si>
    <t>Ingeniería Ambiental y Calidad de Aguas</t>
  </si>
  <si>
    <t>Ampliación de Hidráulica e Hidrología</t>
  </si>
  <si>
    <t>Obras Hidráulicas I</t>
  </si>
  <si>
    <t>Obras Hidráulicas II</t>
  </si>
  <si>
    <t>Hidráulica Litoral</t>
  </si>
  <si>
    <t>Planificación Hidrológica</t>
  </si>
  <si>
    <t>Hidrogeología y Gestión de Acuíferos</t>
  </si>
  <si>
    <t>Sistemas Energéticos</t>
  </si>
  <si>
    <t>Gestión Integral de Puertos y Costas</t>
  </si>
  <si>
    <t>Caminos y Aeropuertos</t>
  </si>
  <si>
    <t>Ferrocarriles y Transporte Guiado</t>
  </si>
  <si>
    <t>Ingeniería Sanitaria Urbana</t>
  </si>
  <si>
    <t>Luminotecnia</t>
  </si>
  <si>
    <t>Sistemas de Transporte</t>
  </si>
  <si>
    <t>Intermodalidad: Infraestructuras y Servicios</t>
  </si>
  <si>
    <t>Urbanística y Ordenación del Territorio</t>
  </si>
  <si>
    <t>Urbanismo</t>
  </si>
  <si>
    <t>Curso</t>
  </si>
  <si>
    <t>Optatividad</t>
  </si>
  <si>
    <t>ASIGNATURAS Plan 2010</t>
  </si>
  <si>
    <t>ASIGNATURAS Plan 2023</t>
  </si>
  <si>
    <t>marcar las superadas</t>
  </si>
  <si>
    <t>ADAPTACIÓN</t>
  </si>
  <si>
    <t xml:space="preserve">ECTS </t>
  </si>
  <si>
    <t xml:space="preserve">Curso </t>
  </si>
  <si>
    <t>&lt;NUEVA ASIGNATURA&gt;</t>
  </si>
  <si>
    <t>Suma de cr. superados:</t>
  </si>
  <si>
    <t>Suma de cr. que se pueden adaptar:</t>
  </si>
  <si>
    <r>
      <t xml:space="preserve">TABLA DE EQUIVALENCIAS PARA LA ADAPTACIÓN DE TÍTULO </t>
    </r>
    <r>
      <rPr>
        <sz val="9"/>
        <color rgb="FF000000"/>
        <rFont val="Arial"/>
        <family val="2"/>
      </rPr>
      <t>DE INGENIERÍA CIVIL</t>
    </r>
  </si>
  <si>
    <t>DNI/NIE:</t>
  </si>
  <si>
    <t>Primero:</t>
  </si>
  <si>
    <t>Segundo:</t>
  </si>
  <si>
    <t>Tercero:</t>
  </si>
  <si>
    <t>Cuarto:</t>
  </si>
  <si>
    <t>Créd.</t>
  </si>
  <si>
    <t>Optatividad adicional:</t>
  </si>
  <si>
    <t>PROPUESTA DE AUTOBAREMO de adaptación</t>
  </si>
  <si>
    <t>T</t>
  </si>
  <si>
    <t>B</t>
  </si>
  <si>
    <t>CV</t>
  </si>
  <si>
    <t>HI</t>
  </si>
  <si>
    <t>TR</t>
  </si>
  <si>
    <t>TIPO</t>
  </si>
  <si>
    <t>NUM</t>
  </si>
  <si>
    <t>MENCION</t>
  </si>
  <si>
    <t>SIGLA</t>
  </si>
  <si>
    <t>Prácticas Externas</t>
  </si>
  <si>
    <t>Mención</t>
  </si>
  <si>
    <t>OPTATIVAS:</t>
  </si>
  <si>
    <t>OPT1</t>
  </si>
  <si>
    <t>OP2</t>
  </si>
  <si>
    <t>OPT</t>
  </si>
  <si>
    <t>P</t>
  </si>
  <si>
    <t>cv</t>
  </si>
  <si>
    <t>crs.</t>
  </si>
  <si>
    <t>curso2</t>
  </si>
  <si>
    <t>2025/26</t>
  </si>
  <si>
    <t>2026/27</t>
  </si>
  <si>
    <t>IMPLANTACIÓN</t>
  </si>
  <si>
    <t>3º</t>
  </si>
  <si>
    <t>3º - 4º</t>
  </si>
  <si>
    <t xml:space="preserve">3º - 4º </t>
  </si>
  <si>
    <t>*</t>
  </si>
  <si>
    <t>a impartir cada una de ellas, según el curso al que están adscritas.</t>
  </si>
  <si>
    <r>
      <t xml:space="preserve">  En caso de querer pedir formalmente la</t>
    </r>
    <r>
      <rPr>
        <b/>
        <sz val="12"/>
        <color theme="1"/>
        <rFont val="Calibri"/>
        <family val="2"/>
        <scheme val="minor"/>
      </rPr>
      <t xml:space="preserve"> ADAPTACIÓN</t>
    </r>
    <r>
      <rPr>
        <sz val="12"/>
        <color theme="1"/>
        <rFont val="Calibri"/>
        <family val="2"/>
        <scheme val="minor"/>
      </rPr>
      <t>:</t>
    </r>
  </si>
  <si>
    <t>1º.</t>
  </si>
  <si>
    <t>2º.</t>
  </si>
  <si>
    <t xml:space="preserve"> Info. Automática</t>
  </si>
  <si>
    <t>DESGLOSE DE OPTATIVIDAD:</t>
  </si>
  <si>
    <t>Crds.</t>
  </si>
  <si>
    <t>asig.</t>
  </si>
  <si>
    <t>Prácticas</t>
  </si>
  <si>
    <t>TOTAL</t>
  </si>
  <si>
    <t>curso2010</t>
  </si>
  <si>
    <t>ADAPTACIÓN
POR…</t>
  </si>
  <si>
    <t>OPTATIVIDAD ADICIONAL</t>
  </si>
  <si>
    <t>Suma de cr. que se adaptarán</t>
  </si>
  <si>
    <t>RESUMEN para plan nuevo</t>
  </si>
  <si>
    <t>MENCIÓN EN TRANSPORTES Y SERVICIOS URBANOS</t>
  </si>
  <si>
    <t>TECNOLOGIA ESPECÍFICA COMUN</t>
  </si>
  <si>
    <t>MENCIÓN:</t>
  </si>
  <si>
    <r>
      <t xml:space="preserve">  En la pestaña </t>
    </r>
    <r>
      <rPr>
        <b/>
        <sz val="12"/>
        <color rgb="FF0070C0"/>
        <rFont val="Calibri"/>
        <family val="2"/>
        <scheme val="minor"/>
      </rPr>
      <t xml:space="preserve">[Autobaremo] </t>
    </r>
    <r>
      <rPr>
        <sz val="12"/>
        <color rgb="FF0070C0"/>
        <rFont val="Calibri"/>
        <family val="2"/>
        <scheme val="minor"/>
      </rPr>
      <t>debe indicar las asignaturas superadas en el plan 2010</t>
    </r>
  </si>
  <si>
    <t>Le irán apareciendo las adaptaciones correspondientes en el plan nuevo</t>
  </si>
  <si>
    <r>
      <t xml:space="preserve">Únicamente tiene que </t>
    </r>
    <r>
      <rPr>
        <b/>
        <sz val="12"/>
        <color theme="1"/>
        <rFont val="Calibri"/>
        <family val="2"/>
        <scheme val="minor"/>
      </rPr>
      <t>marcar</t>
    </r>
    <r>
      <rPr>
        <sz val="12"/>
        <color theme="1"/>
        <rFont val="Calibri"/>
        <family val="2"/>
        <scheme val="minor"/>
      </rPr>
      <t xml:space="preserve"> las asignaturas superadas y elegir la Mención (si procede)</t>
    </r>
  </si>
  <si>
    <t>Imprimir
ADAPTACIÓN</t>
  </si>
  <si>
    <t>3º.</t>
  </si>
  <si>
    <t>IMPORTANTE:</t>
  </si>
  <si>
    <t>Primero ha de cumplimentar el autobaremo</t>
  </si>
  <si>
    <r>
      <t xml:space="preserve">Aquí no hay que rellenar nada. Las asignaturas aparecen </t>
    </r>
    <r>
      <rPr>
        <u/>
        <sz val="12"/>
        <color theme="1"/>
        <rFont val="Calibri"/>
        <family val="2"/>
        <scheme val="minor"/>
      </rPr>
      <t>ordenadas por cursos</t>
    </r>
    <r>
      <rPr>
        <sz val="12"/>
        <color theme="1"/>
        <rFont val="Calibri"/>
        <family val="2"/>
        <scheme val="minor"/>
      </rPr>
      <t xml:space="preserve"> en</t>
    </r>
  </si>
  <si>
    <r>
      <t xml:space="preserve">el plan 2023, con objeto de facilitar la </t>
    </r>
    <r>
      <rPr>
        <sz val="12"/>
        <color theme="8" tint="-0.499984740745262"/>
        <rFont val="Calibri"/>
        <family val="2"/>
        <scheme val="minor"/>
      </rPr>
      <t>visualización del cronograma</t>
    </r>
    <r>
      <rPr>
        <sz val="12"/>
        <color theme="1"/>
        <rFont val="Calibri"/>
        <family val="2"/>
        <scheme val="minor"/>
      </rPr>
      <t xml:space="preserve"> en que se empezará</t>
    </r>
  </si>
  <si>
    <r>
      <t xml:space="preserve">  Pestaña </t>
    </r>
    <r>
      <rPr>
        <b/>
        <sz val="12"/>
        <color rgb="FFC00000"/>
        <rFont val="Calibri"/>
        <family val="2"/>
        <scheme val="minor"/>
      </rPr>
      <t>[Adaptación]</t>
    </r>
  </si>
  <si>
    <t>Apellidos y nombre:</t>
  </si>
  <si>
    <t>ESTE AUTOBAREMO ES SÓLO ORIENTATIVO PARA EL/LA ESTUDIANTE.
Si así lo solicita, la universidad procederá a la Adaptación que corresponda conforme a su expediente.</t>
  </si>
  <si>
    <t>Estudiante:</t>
  </si>
  <si>
    <r>
      <t xml:space="preserve">* </t>
    </r>
    <r>
      <rPr>
        <b/>
        <sz val="12"/>
        <color rgb="FF0070C0"/>
        <rFont val="Calibri"/>
        <family val="2"/>
        <scheme val="minor"/>
      </rPr>
      <t xml:space="preserve">Se le pueden adaptar </t>
    </r>
    <r>
      <rPr>
        <sz val="12"/>
        <color rgb="FF0070C0"/>
        <rFont val="Calibri"/>
        <family val="2"/>
        <scheme val="minor"/>
      </rPr>
      <t>los</t>
    </r>
  </si>
  <si>
    <t>RESUMEN final</t>
  </si>
  <si>
    <t>ETS INGENIERÍA DE CAMINOS, CANALES Y PUERTOS</t>
  </si>
  <si>
    <t>Pendientes</t>
  </si>
  <si>
    <t>Superados</t>
  </si>
  <si>
    <t>sem2</t>
  </si>
  <si>
    <t>nada</t>
  </si>
  <si>
    <t>Sem1</t>
  </si>
  <si>
    <t>Sem2</t>
  </si>
  <si>
    <r>
      <t xml:space="preserve">Puede </t>
    </r>
    <r>
      <rPr>
        <b/>
        <sz val="12"/>
        <color theme="1"/>
        <rFont val="Calibri"/>
        <family val="2"/>
        <scheme val="minor"/>
      </rPr>
      <t xml:space="preserve">Imprimir </t>
    </r>
    <r>
      <rPr>
        <sz val="12"/>
        <color theme="1"/>
        <rFont val="Calibri"/>
        <family val="2"/>
        <scheme val="minor"/>
      </rPr>
      <t>o exportar a PDF si desea presentar solicitud oficial de Adaptación</t>
    </r>
  </si>
  <si>
    <t>SEDE ELECTRÓNICA</t>
  </si>
  <si>
    <r>
      <rPr>
        <i/>
        <sz val="12"/>
        <color theme="1"/>
        <rFont val="Calibri"/>
        <family val="2"/>
        <scheme val="minor"/>
      </rPr>
      <t xml:space="preserve"> - Nombre completo, DNI/NIE y también la Mención (</t>
    </r>
    <r>
      <rPr>
        <sz val="12"/>
        <color theme="1"/>
        <rFont val="Calibri"/>
        <family val="2"/>
        <scheme val="minor"/>
      </rPr>
      <t>si procede</t>
    </r>
    <r>
      <rPr>
        <i/>
        <sz val="12"/>
        <color theme="1"/>
        <rFont val="Calibri"/>
        <family val="2"/>
        <scheme val="minor"/>
      </rPr>
      <t>)</t>
    </r>
  </si>
  <si>
    <t xml:space="preserve"> - Marcar las asignaturas superadas</t>
  </si>
  <si>
    <r>
      <t xml:space="preserve">Rellenar en </t>
    </r>
    <r>
      <rPr>
        <b/>
        <sz val="12"/>
        <color theme="1"/>
        <rFont val="Calibri"/>
        <family val="2"/>
        <scheme val="minor"/>
      </rPr>
      <t>[Autobaremo]</t>
    </r>
    <r>
      <rPr>
        <sz val="12"/>
        <color theme="1"/>
        <rFont val="Calibri"/>
        <family val="2"/>
        <scheme val="minor"/>
      </rPr>
      <t>:</t>
    </r>
  </si>
  <si>
    <t xml:space="preserve">Enlace en sede electrócnica: </t>
  </si>
  <si>
    <t>https://sede.ugr.es/procs/Gestion-Academica-Solicitud-de-reconocimiento-de-creditos/</t>
  </si>
  <si>
    <t>Realizar solicitud en sede electrónica.</t>
  </si>
  <si>
    <r>
      <t xml:space="preserve">El pdf del punto 2 deberá incorporse a la solicitud oficial de adaptación, como </t>
    </r>
    <r>
      <rPr>
        <b/>
        <sz val="12"/>
        <color theme="1"/>
        <rFont val="Calibri"/>
        <family val="2"/>
        <scheme val="minor"/>
      </rPr>
      <t>anexo2.</t>
    </r>
  </si>
  <si>
    <t>Además deberá incorporarse también el anexo1 que figura en la propia sede.</t>
  </si>
  <si>
    <t xml:space="preserve">   de 48 </t>
  </si>
  <si>
    <t>COMUN</t>
  </si>
  <si>
    <t>Tecnología Común</t>
  </si>
  <si>
    <t>T. Espec.</t>
  </si>
  <si>
    <t xml:space="preserve">   de 12</t>
  </si>
  <si>
    <t>MENCION EN TRANSPORTES Y SERVICIOS URBANOS</t>
  </si>
  <si>
    <t>ESTE AUTOBAREMO ES SÓLO ORIENTATIVO PARA EL ALUMNO/A.
la administración aplicará la Adaptación que corresponda conforme a su expediente.</t>
  </si>
  <si>
    <t>No Definida</t>
  </si>
  <si>
    <t>--</t>
  </si>
  <si>
    <t>adap2</t>
  </si>
  <si>
    <t>ECTS1</t>
  </si>
  <si>
    <t>OBSERVACIONES:</t>
  </si>
  <si>
    <t>X</t>
  </si>
  <si>
    <t>Se adaptan:</t>
  </si>
  <si>
    <r>
      <rPr>
        <b/>
        <sz val="20"/>
        <color theme="1"/>
        <rFont val="Calibri"/>
        <family val="2"/>
        <scheme val="minor"/>
      </rPr>
      <t>Rellenar</t>
    </r>
    <r>
      <rPr>
        <sz val="16"/>
        <color theme="1"/>
        <rFont val="Calibri"/>
        <family val="2"/>
        <scheme val="minor"/>
      </rPr>
      <t xml:space="preserve">
AUTOBAREMO</t>
    </r>
  </si>
  <si>
    <t>xx</t>
  </si>
  <si>
    <r>
      <t xml:space="preserve">1º - 2º - 3º  </t>
    </r>
    <r>
      <rPr>
        <b/>
        <sz val="22"/>
        <color theme="0"/>
        <rFont val="Calibri"/>
        <family val="2"/>
        <scheme val="minor"/>
      </rPr>
      <t xml:space="preserve"> Matriculables</t>
    </r>
  </si>
  <si>
    <t xml:space="preserve">1º - 2º - 3º - 4º </t>
  </si>
  <si>
    <r>
      <t xml:space="preserve">Si por alguna circunstancia cambiaras de opinión, puedes mandar tu desistimiento </t>
    </r>
    <r>
      <rPr>
        <b/>
        <sz val="12"/>
        <color rgb="FFFF0000"/>
        <rFont val="Calibri"/>
        <family val="2"/>
        <scheme val="minor"/>
      </rPr>
      <t>(antes del 25 julio</t>
    </r>
    <r>
      <rPr>
        <sz val="12"/>
        <color theme="1"/>
        <rFont val="Calibri"/>
        <family val="2"/>
        <scheme val="minor"/>
      </rPr>
      <t xml:space="preserve">) mediante </t>
    </r>
    <r>
      <rPr>
        <i/>
        <sz val="12"/>
        <color theme="1"/>
        <rFont val="Calibri"/>
        <family val="2"/>
        <scheme val="minor"/>
      </rPr>
      <t>Solicitud Genérica</t>
    </r>
    <r>
      <rPr>
        <sz val="12"/>
        <color theme="1"/>
        <rFont val="Calibri"/>
        <family val="2"/>
        <scheme val="minor"/>
      </rPr>
      <t xml:space="preserve"> de la sede electrónica (</t>
    </r>
    <r>
      <rPr>
        <sz val="12"/>
        <color theme="5" tint="-0.249977111117893"/>
        <rFont val="Calibri"/>
        <family val="2"/>
        <scheme val="minor"/>
      </rPr>
      <t>después de esa fecha el proceso será irreversible</t>
    </r>
    <r>
      <rPr>
        <sz val="12"/>
        <color theme="1"/>
        <rFont val="Calibri"/>
        <family val="2"/>
        <scheme val="minor"/>
      </rPr>
      <t>)</t>
    </r>
  </si>
  <si>
    <r>
      <rPr>
        <b/>
        <sz val="12"/>
        <color rgb="FF00B050"/>
        <rFont val="Calibri"/>
        <family val="2"/>
        <scheme val="minor"/>
      </rPr>
      <t>Recuerda</t>
    </r>
    <r>
      <rPr>
        <sz val="12"/>
        <color theme="1"/>
        <rFont val="Calibri"/>
        <family val="2"/>
        <scheme val="minor"/>
      </rPr>
      <t>: La Adaptación supone el cierre definitivo del expediente en plan 2010 y la apertura en plan 2023.</t>
    </r>
  </si>
  <si>
    <r>
      <rPr>
        <sz val="12"/>
        <color rgb="FFFF0000"/>
        <rFont val="Calibri"/>
        <family val="2"/>
        <scheme val="minor"/>
      </rPr>
      <t xml:space="preserve">IMPORTANTE - Curso 2025/26:
</t>
    </r>
    <r>
      <rPr>
        <b/>
        <sz val="12"/>
        <color rgb="FF0070C0"/>
        <rFont val="Calibri"/>
        <family val="2"/>
        <scheme val="minor"/>
      </rPr>
      <t>Sólo podrá matricular</t>
    </r>
  </si>
  <si>
    <r>
      <t>asignaturas de</t>
    </r>
    <r>
      <rPr>
        <b/>
        <sz val="12"/>
        <rFont val="Calibri"/>
        <family val="2"/>
        <scheme val="minor"/>
      </rPr>
      <t xml:space="preserve"> PRIMERO, SEGUNDO y TERCERO</t>
    </r>
    <r>
      <rPr>
        <sz val="12"/>
        <rFont val="Calibri"/>
        <family val="2"/>
        <scheme val="minor"/>
      </rPr>
      <t xml:space="preserve"> </t>
    </r>
    <r>
      <rPr>
        <i/>
        <sz val="10"/>
        <rFont val="Calibri"/>
        <family val="2"/>
        <scheme val="minor"/>
      </rPr>
      <t>(máximo disponible, en su caso:</t>
    </r>
    <r>
      <rPr>
        <sz val="10"/>
        <rFont val="Calibri"/>
        <family val="2"/>
        <scheme val="minor"/>
      </rPr>
      <t xml:space="preserve"> </t>
    </r>
  </si>
  <si>
    <t>Crs. Matriculables 25/26</t>
  </si>
  <si>
    <t>sem3</t>
  </si>
  <si>
    <t>comun</t>
  </si>
  <si>
    <t>En caso de tener calificaciones pendientes de nota (a día de la solicitud):</t>
  </si>
  <si>
    <r>
      <rPr>
        <b/>
        <sz val="12"/>
        <color theme="1"/>
        <rFont val="Calibri"/>
        <family val="2"/>
        <scheme val="minor"/>
      </rPr>
      <t>No debes iniciar automatrícula en el plan antiguo!!!</t>
    </r>
    <r>
      <rPr>
        <sz val="12"/>
        <color theme="1"/>
        <rFont val="Calibri"/>
        <family val="2"/>
        <scheme val="minor"/>
      </rPr>
      <t xml:space="preserve">
  Espera a recibir el email de confirmación de que se ha realizado el cambio de plan (entre el 25 y el 31 de julio). </t>
    </r>
    <r>
      <rPr>
        <sz val="12"/>
        <color rgb="FFC00000"/>
        <rFont val="Calibri"/>
        <family val="2"/>
        <scheme val="minor"/>
      </rPr>
      <t>Comprueba que tu automatrícula es para el código de estudios 246</t>
    </r>
  </si>
  <si>
    <r>
      <t xml:space="preserve">Imprimir en PDF la hoja </t>
    </r>
    <r>
      <rPr>
        <b/>
        <sz val="12"/>
        <color theme="1"/>
        <rFont val="Calibri"/>
        <family val="2"/>
        <scheme val="minor"/>
      </rPr>
      <t>[Adaptación]</t>
    </r>
  </si>
  <si>
    <r>
      <rPr>
        <sz val="12"/>
        <color theme="5" tint="-0.249977111117893"/>
        <rFont val="Calibri"/>
        <family val="2"/>
        <scheme val="minor"/>
      </rPr>
      <t xml:space="preserve">NO HAY PROBLEMA!!
</t>
    </r>
    <r>
      <rPr>
        <sz val="12"/>
        <rFont val="Calibri"/>
        <family val="2"/>
        <scheme val="minor"/>
      </rPr>
      <t>La Adaptación del plan la realizaremos</t>
    </r>
    <r>
      <rPr>
        <b/>
        <sz val="12"/>
        <rFont val="Calibri"/>
        <family val="2"/>
        <scheme val="minor"/>
      </rPr>
      <t xml:space="preserve"> después del cierre de actas</t>
    </r>
    <r>
      <rPr>
        <sz val="12"/>
        <rFont val="Calibri"/>
        <family val="2"/>
        <scheme val="minor"/>
      </rPr>
      <t xml:space="preserve">, por lo que siempre consideraremos </t>
    </r>
    <r>
      <rPr>
        <b/>
        <sz val="12"/>
        <rFont val="Calibri"/>
        <family val="2"/>
        <scheme val="minor"/>
      </rPr>
      <t>todas</t>
    </r>
    <r>
      <rPr>
        <sz val="12"/>
        <rFont val="Calibri"/>
        <family val="2"/>
        <scheme val="minor"/>
      </rPr>
      <t xml:space="preserve"> las asignaturas QUE FIGUEREN EFECTIVAMENTE SUPERADAS en tu expediente.</t>
    </r>
  </si>
  <si>
    <t>sem2023</t>
  </si>
  <si>
    <t>4º</t>
  </si>
  <si>
    <t>CURSO 2025/26</t>
  </si>
  <si>
    <t>Rellenar</t>
  </si>
  <si>
    <t>PDF</t>
  </si>
  <si>
    <r>
      <t>*L</t>
    </r>
    <r>
      <rPr>
        <b/>
        <sz val="12"/>
        <color rgb="FF0070C0"/>
        <rFont val="Calibri"/>
        <family val="2"/>
        <scheme val="minor"/>
      </rPr>
      <t>as asignaturas de 4º curso</t>
    </r>
    <r>
      <rPr>
        <sz val="12"/>
        <color rgb="FF0070C0"/>
        <rFont val="Calibri"/>
        <family val="2"/>
        <scheme val="minor"/>
      </rPr>
      <t xml:space="preserve"> se impartirán a partir de 2026/27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</si>
</sst>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0" tint="-0.499984740745262"/>
      <name val="Arial"/>
      <family val="2"/>
    </font>
    <font>
      <sz val="9"/>
      <color theme="1"/>
      <name val="Arial"/>
      <family val="2"/>
    </font>
    <font>
      <sz val="9"/>
      <color theme="2" tint="-0.499984740745262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theme="0" tint="-0.14999847407452621"/>
      <name val="Arial"/>
      <family val="2"/>
    </font>
    <font>
      <sz val="12"/>
      <color theme="0"/>
      <name val="Calibri"/>
      <family val="2"/>
      <scheme val="minor"/>
    </font>
    <font>
      <i/>
      <sz val="9"/>
      <color rgb="FF000000"/>
      <name val="Arial"/>
      <family val="2"/>
    </font>
    <font>
      <i/>
      <sz val="12"/>
      <color theme="1"/>
      <name val="Calibri"/>
      <family val="2"/>
      <scheme val="minor"/>
    </font>
    <font>
      <sz val="16"/>
      <color theme="5" tint="-0.249977111117893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8"/>
      <name val="Calibri"/>
      <family val="2"/>
      <scheme val="minor"/>
    </font>
    <font>
      <b/>
      <sz val="12"/>
      <color theme="8"/>
      <name val="Calibri"/>
      <family val="2"/>
      <scheme val="minor"/>
    </font>
    <font>
      <sz val="9"/>
      <color theme="4"/>
      <name val="Arial"/>
      <family val="2"/>
    </font>
    <font>
      <sz val="9"/>
      <color rgb="FFFF0000"/>
      <name val="Arial"/>
      <family val="2"/>
    </font>
    <font>
      <sz val="9"/>
      <color rgb="FF00B050"/>
      <name val="Arial"/>
      <family val="2"/>
    </font>
    <font>
      <b/>
      <sz val="22"/>
      <color theme="1"/>
      <name val="Calibri"/>
      <family val="2"/>
      <scheme val="minor"/>
    </font>
    <font>
      <b/>
      <sz val="9"/>
      <color theme="5"/>
      <name val="Arial"/>
      <family val="2"/>
    </font>
    <font>
      <b/>
      <sz val="9"/>
      <color rgb="FF00B050"/>
      <name val="Arial"/>
      <family val="2"/>
    </font>
    <font>
      <b/>
      <sz val="9"/>
      <color theme="5" tint="-0.249977111117893"/>
      <name val="Arial"/>
      <family val="2"/>
    </font>
    <font>
      <b/>
      <sz val="9"/>
      <color rgb="FF0070C0"/>
      <name val="Arial"/>
      <family val="2"/>
    </font>
    <font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Arial"/>
      <family val="2"/>
    </font>
    <font>
      <sz val="14"/>
      <color theme="5" tint="-0.249977111117893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9"/>
      <color theme="0" tint="-0.249977111117893"/>
      <name val="Arial"/>
      <family val="2"/>
    </font>
    <font>
      <b/>
      <sz val="2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2"/>
      <color theme="5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sz val="12"/>
      <color theme="4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rgb="FF7030A0"/>
      <name val="Arial"/>
      <family val="2"/>
    </font>
    <font>
      <sz val="12"/>
      <color theme="9" tint="-0.249977111117893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sz val="11"/>
      <name val="Aharoni"/>
      <charset val="177"/>
    </font>
    <font>
      <b/>
      <sz val="9"/>
      <color theme="1"/>
      <name val="Arial"/>
      <family val="2"/>
    </font>
    <font>
      <sz val="8"/>
      <color rgb="FF000000"/>
      <name val="Arial"/>
      <family val="2"/>
    </font>
    <font>
      <sz val="9"/>
      <color theme="0" tint="-0.34998626667073579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2"/>
      <color theme="1" tint="0.499984740745262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sz val="9"/>
      <color theme="1" tint="0.499984740745262"/>
      <name val="Arial"/>
      <family val="2"/>
    </font>
    <font>
      <b/>
      <sz val="22"/>
      <color theme="0"/>
      <name val="Calibri"/>
      <family val="2"/>
      <scheme val="minor"/>
    </font>
    <font>
      <b/>
      <sz val="9"/>
      <color theme="0" tint="-0.499984740745262"/>
      <name val="Arial"/>
      <family val="2"/>
    </font>
    <font>
      <b/>
      <sz val="22"/>
      <color rgb="FF92D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sz val="9"/>
      <color theme="7" tint="0.3999755851924192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</fills>
  <borders count="107">
    <border>
      <left/>
      <right/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indexed="64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rgb="FF000000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rgb="FF000000"/>
      </right>
      <top/>
      <bottom style="dotted">
        <color auto="1"/>
      </bottom>
      <diagonal/>
    </border>
    <border>
      <left style="dotted">
        <color auto="1"/>
      </left>
      <right style="medium">
        <color rgb="FF000000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rgb="FF000000"/>
      </right>
      <top style="dotted">
        <color auto="1"/>
      </top>
      <bottom style="medium">
        <color rgb="FF000000"/>
      </bottom>
      <diagonal/>
    </border>
    <border>
      <left style="dotted">
        <color auto="1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tted">
        <color auto="1"/>
      </left>
      <right style="dotted">
        <color auto="1"/>
      </right>
      <top/>
      <bottom style="medium">
        <color rgb="FF000000"/>
      </bottom>
      <diagonal/>
    </border>
    <border>
      <left style="dotted">
        <color auto="1"/>
      </left>
      <right style="medium">
        <color rgb="FF000000"/>
      </right>
      <top style="dotted">
        <color auto="1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rgb="FF000000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dotted">
        <color auto="1"/>
      </left>
      <right/>
      <top style="dotted">
        <color auto="1"/>
      </top>
      <bottom style="double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dotted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4" fillId="0" borderId="0" applyNumberFormat="0" applyFill="0" applyBorder="0" applyAlignment="0" applyProtection="0"/>
  </cellStyleXfs>
  <cellXfs count="514">
    <xf numFmtId="0" fontId="0" fillId="0" borderId="0" xfId="0"/>
    <xf numFmtId="0" fontId="0" fillId="0" borderId="0" xfId="0" applyProtection="1">
      <protection hidden="1"/>
    </xf>
    <xf numFmtId="0" fontId="13" fillId="7" borderId="0" xfId="0" applyFont="1" applyFill="1" applyProtection="1">
      <protection hidden="1"/>
    </xf>
    <xf numFmtId="0" fontId="16" fillId="0" borderId="10" xfId="0" applyFont="1" applyBorder="1" applyAlignment="1" applyProtection="1">
      <alignment horizontal="right"/>
      <protection hidden="1"/>
    </xf>
    <xf numFmtId="0" fontId="6" fillId="2" borderId="8" xfId="0" applyFont="1" applyFill="1" applyBorder="1" applyAlignment="1" applyProtection="1">
      <alignment horizontal="right" vertical="center" wrapText="1"/>
      <protection hidden="1"/>
    </xf>
    <xf numFmtId="0" fontId="5" fillId="10" borderId="0" xfId="0" applyFont="1" applyFill="1" applyAlignment="1" applyProtection="1">
      <alignment horizontal="center" vertical="center" wrapText="1"/>
      <protection hidden="1"/>
    </xf>
    <xf numFmtId="0" fontId="6" fillId="2" borderId="9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right" vertical="center" wrapText="1"/>
      <protection hidden="1"/>
    </xf>
    <xf numFmtId="0" fontId="11" fillId="11" borderId="0" xfId="0" applyFont="1" applyFill="1" applyAlignment="1" applyProtection="1">
      <alignment horizontal="center" vertical="center" wrapText="1"/>
      <protection hidden="1"/>
    </xf>
    <xf numFmtId="0" fontId="12" fillId="6" borderId="5" xfId="0" applyFont="1" applyFill="1" applyBorder="1" applyAlignment="1" applyProtection="1">
      <alignment vertical="center" wrapText="1"/>
      <protection locked="0" hidden="1"/>
    </xf>
    <xf numFmtId="0" fontId="9" fillId="0" borderId="1" xfId="0" applyFont="1" applyBorder="1" applyAlignment="1" applyProtection="1">
      <alignment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10" fillId="0" borderId="2" xfId="0" applyFont="1" applyBorder="1" applyAlignment="1" applyProtection="1">
      <alignment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left" vertical="center" wrapText="1"/>
      <protection hidden="1"/>
    </xf>
    <xf numFmtId="0" fontId="10" fillId="0" borderId="2" xfId="0" applyFont="1" applyBorder="1" applyAlignment="1" applyProtection="1">
      <alignment horizontal="left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12" fillId="6" borderId="5" xfId="0" applyFont="1" applyFill="1" applyBorder="1" applyAlignment="1" applyProtection="1">
      <alignment horizontal="center" vertical="center" wrapText="1"/>
      <protection locked="0" hidden="1"/>
    </xf>
    <xf numFmtId="0" fontId="10" fillId="3" borderId="2" xfId="0" applyFont="1" applyFill="1" applyBorder="1" applyAlignment="1" applyProtection="1">
      <alignment horizontal="left" vertical="center" wrapText="1"/>
      <protection hidden="1"/>
    </xf>
    <xf numFmtId="0" fontId="10" fillId="3" borderId="2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22" fillId="0" borderId="19" xfId="0" applyFont="1" applyBorder="1" applyAlignment="1" applyProtection="1">
      <alignment horizontal="right"/>
      <protection hidden="1"/>
    </xf>
    <xf numFmtId="164" fontId="22" fillId="0" borderId="20" xfId="0" applyNumberFormat="1" applyFont="1" applyBorder="1" applyProtection="1">
      <protection hidden="1"/>
    </xf>
    <xf numFmtId="0" fontId="22" fillId="0" borderId="16" xfId="0" applyFont="1" applyBorder="1" applyAlignment="1" applyProtection="1">
      <alignment horizontal="right"/>
      <protection hidden="1"/>
    </xf>
    <xf numFmtId="164" fontId="22" fillId="0" borderId="17" xfId="0" applyNumberFormat="1" applyFont="1" applyBorder="1" applyProtection="1">
      <protection hidden="1"/>
    </xf>
    <xf numFmtId="164" fontId="0" fillId="0" borderId="0" xfId="0" applyNumberFormat="1" applyAlignment="1" applyProtection="1">
      <alignment horizontal="left"/>
      <protection hidden="1"/>
    </xf>
    <xf numFmtId="0" fontId="21" fillId="0" borderId="14" xfId="0" applyFont="1" applyBorder="1" applyAlignment="1" applyProtection="1">
      <alignment horizontal="right"/>
      <protection hidden="1"/>
    </xf>
    <xf numFmtId="164" fontId="21" fillId="0" borderId="18" xfId="0" applyNumberFormat="1" applyFont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horizontal="right"/>
      <protection hidden="1"/>
    </xf>
    <xf numFmtId="164" fontId="18" fillId="0" borderId="0" xfId="0" applyNumberFormat="1" applyFont="1" applyProtection="1">
      <protection hidden="1"/>
    </xf>
    <xf numFmtId="0" fontId="21" fillId="0" borderId="0" xfId="0" applyFont="1" applyAlignment="1" applyProtection="1">
      <alignment horizontal="right"/>
      <protection hidden="1"/>
    </xf>
    <xf numFmtId="164" fontId="21" fillId="0" borderId="0" xfId="0" applyNumberFormat="1" applyFont="1" applyProtection="1">
      <protection hidden="1"/>
    </xf>
    <xf numFmtId="0" fontId="0" fillId="0" borderId="19" xfId="0" applyBorder="1" applyAlignment="1" applyProtection="1">
      <alignment horizontal="right"/>
      <protection hidden="1"/>
    </xf>
    <xf numFmtId="164" fontId="0" fillId="0" borderId="20" xfId="0" applyNumberFormat="1" applyBorder="1" applyProtection="1">
      <protection hidden="1"/>
    </xf>
    <xf numFmtId="0" fontId="0" fillId="0" borderId="14" xfId="0" applyBorder="1" applyAlignment="1" applyProtection="1">
      <alignment horizontal="right"/>
      <protection hidden="1"/>
    </xf>
    <xf numFmtId="164" fontId="0" fillId="0" borderId="18" xfId="0" applyNumberFormat="1" applyBorder="1" applyProtection="1">
      <protection hidden="1"/>
    </xf>
    <xf numFmtId="0" fontId="0" fillId="7" borderId="0" xfId="0" applyFill="1" applyProtection="1">
      <protection hidden="1"/>
    </xf>
    <xf numFmtId="164" fontId="20" fillId="0" borderId="0" xfId="0" applyNumberFormat="1" applyFont="1" applyAlignment="1" applyProtection="1">
      <alignment horizontal="center"/>
      <protection hidden="1"/>
    </xf>
    <xf numFmtId="164" fontId="20" fillId="0" borderId="0" xfId="0" applyNumberFormat="1" applyFont="1" applyAlignment="1" applyProtection="1">
      <alignment horizontal="left"/>
      <protection hidden="1"/>
    </xf>
    <xf numFmtId="0" fontId="13" fillId="0" borderId="0" xfId="0" applyFont="1" applyProtection="1">
      <protection hidden="1"/>
    </xf>
    <xf numFmtId="0" fontId="0" fillId="0" borderId="0" xfId="0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quotePrefix="1" applyFont="1" applyAlignment="1" applyProtection="1">
      <alignment horizontal="center" vertical="center" wrapText="1"/>
      <protection hidden="1"/>
    </xf>
    <xf numFmtId="0" fontId="0" fillId="0" borderId="25" xfId="0" applyBorder="1" applyAlignment="1" applyProtection="1">
      <alignment vertical="center"/>
      <protection hidden="1"/>
    </xf>
    <xf numFmtId="0" fontId="0" fillId="0" borderId="25" xfId="0" applyBorder="1" applyProtection="1">
      <protection hidden="1"/>
    </xf>
    <xf numFmtId="0" fontId="6" fillId="3" borderId="0" xfId="0" applyFont="1" applyFill="1" applyAlignment="1" applyProtection="1">
      <alignment horizontal="center" vertical="center" wrapText="1"/>
      <protection hidden="1"/>
    </xf>
    <xf numFmtId="0" fontId="6" fillId="3" borderId="22" xfId="0" applyFont="1" applyFill="1" applyBorder="1" applyAlignment="1" applyProtection="1">
      <alignment horizontal="center" vertical="center" wrapText="1"/>
      <protection hidden="1"/>
    </xf>
    <xf numFmtId="0" fontId="0" fillId="7" borderId="25" xfId="0" applyFill="1" applyBorder="1" applyProtection="1">
      <protection hidden="1"/>
    </xf>
    <xf numFmtId="0" fontId="9" fillId="0" borderId="3" xfId="0" applyFont="1" applyBorder="1" applyAlignment="1" applyProtection="1">
      <alignment horizontal="left" vertical="center" wrapText="1"/>
      <protection hidden="1"/>
    </xf>
    <xf numFmtId="0" fontId="10" fillId="0" borderId="3" xfId="0" applyFont="1" applyBorder="1" applyAlignment="1" applyProtection="1">
      <alignment horizontal="left" vertical="center" wrapText="1"/>
      <protection hidden="1"/>
    </xf>
    <xf numFmtId="0" fontId="0" fillId="0" borderId="26" xfId="0" applyBorder="1" applyProtection="1">
      <protection hidden="1"/>
    </xf>
    <xf numFmtId="0" fontId="0" fillId="16" borderId="0" xfId="0" applyFill="1"/>
    <xf numFmtId="0" fontId="0" fillId="13" borderId="0" xfId="0" applyFill="1"/>
    <xf numFmtId="0" fontId="34" fillId="16" borderId="0" xfId="0" applyFont="1" applyFill="1"/>
    <xf numFmtId="0" fontId="0" fillId="10" borderId="0" xfId="0" applyFill="1" applyAlignment="1" applyProtection="1">
      <alignment horizontal="center"/>
      <protection hidden="1"/>
    </xf>
    <xf numFmtId="0" fontId="0" fillId="16" borderId="0" xfId="0" applyFill="1" applyAlignment="1">
      <alignment horizontal="center"/>
    </xf>
    <xf numFmtId="0" fontId="0" fillId="10" borderId="0" xfId="0" applyFill="1"/>
    <xf numFmtId="0" fontId="35" fillId="10" borderId="0" xfId="0" applyFont="1" applyFill="1" applyAlignment="1">
      <alignment horizontal="center"/>
    </xf>
    <xf numFmtId="0" fontId="35" fillId="10" borderId="0" xfId="0" applyFont="1" applyFill="1"/>
    <xf numFmtId="0" fontId="36" fillId="10" borderId="0" xfId="0" applyFont="1" applyFill="1"/>
    <xf numFmtId="0" fontId="0" fillId="13" borderId="0" xfId="0" applyFill="1" applyAlignment="1">
      <alignment horizontal="center" vertical="center"/>
    </xf>
    <xf numFmtId="0" fontId="13" fillId="11" borderId="0" xfId="0" applyFont="1" applyFill="1" applyProtection="1">
      <protection hidden="1"/>
    </xf>
    <xf numFmtId="0" fontId="43" fillId="13" borderId="15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Protection="1">
      <protection hidden="1"/>
    </xf>
    <xf numFmtId="0" fontId="18" fillId="7" borderId="0" xfId="0" applyFont="1" applyFill="1" applyAlignment="1" applyProtection="1">
      <alignment horizontal="center"/>
      <protection hidden="1"/>
    </xf>
    <xf numFmtId="0" fontId="0" fillId="0" borderId="21" xfId="0" applyBorder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0" fontId="0" fillId="0" borderId="27" xfId="0" applyBorder="1" applyProtection="1">
      <protection hidden="1"/>
    </xf>
    <xf numFmtId="0" fontId="0" fillId="10" borderId="11" xfId="0" applyFill="1" applyBorder="1" applyAlignment="1" applyProtection="1">
      <alignment horizontal="center"/>
      <protection hidden="1"/>
    </xf>
    <xf numFmtId="0" fontId="0" fillId="10" borderId="12" xfId="0" applyFill="1" applyBorder="1" applyAlignment="1" applyProtection="1">
      <alignment horizontal="center"/>
      <protection hidden="1"/>
    </xf>
    <xf numFmtId="0" fontId="0" fillId="10" borderId="13" xfId="0" applyFill="1" applyBorder="1" applyAlignment="1" applyProtection="1">
      <alignment horizontal="center"/>
      <protection hidden="1"/>
    </xf>
    <xf numFmtId="0" fontId="6" fillId="0" borderId="33" xfId="0" applyFont="1" applyBorder="1" applyAlignment="1" applyProtection="1">
      <alignment horizontal="center" vertical="center" wrapText="1"/>
      <protection hidden="1"/>
    </xf>
    <xf numFmtId="0" fontId="6" fillId="0" borderId="34" xfId="0" applyFont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10" fillId="0" borderId="5" xfId="0" applyFont="1" applyBorder="1" applyAlignment="1" applyProtection="1">
      <alignment vertical="center" wrapText="1"/>
      <protection hidden="1"/>
    </xf>
    <xf numFmtId="0" fontId="18" fillId="0" borderId="0" xfId="0" applyFont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27" fillId="0" borderId="22" xfId="0" applyFont="1" applyBorder="1" applyAlignment="1" applyProtection="1">
      <alignment horizontal="center" vertical="center" wrapText="1"/>
      <protection hidden="1"/>
    </xf>
    <xf numFmtId="0" fontId="28" fillId="0" borderId="22" xfId="0" applyFont="1" applyBorder="1" applyAlignment="1" applyProtection="1">
      <alignment horizontal="center" vertical="center" wrapText="1"/>
      <protection hidden="1"/>
    </xf>
    <xf numFmtId="0" fontId="29" fillId="0" borderId="22" xfId="0" applyFont="1" applyBorder="1" applyAlignment="1" applyProtection="1">
      <alignment horizontal="center" vertical="center" wrapText="1"/>
      <protection hidden="1"/>
    </xf>
    <xf numFmtId="0" fontId="30" fillId="7" borderId="22" xfId="0" applyFont="1" applyFill="1" applyBorder="1" applyAlignment="1" applyProtection="1">
      <alignment horizontal="center" vertical="center" wrapText="1"/>
      <protection hidden="1"/>
    </xf>
    <xf numFmtId="0" fontId="24" fillId="0" borderId="22" xfId="0" applyFont="1" applyBorder="1" applyAlignment="1" applyProtection="1">
      <alignment horizontal="center" vertical="center" wrapText="1"/>
      <protection hidden="1"/>
    </xf>
    <xf numFmtId="0" fontId="23" fillId="0" borderId="22" xfId="0" applyFont="1" applyBorder="1" applyAlignment="1" applyProtection="1">
      <alignment horizontal="center" vertical="center" wrapText="1"/>
      <protection hidden="1"/>
    </xf>
    <xf numFmtId="0" fontId="23" fillId="0" borderId="35" xfId="0" applyFont="1" applyBorder="1" applyAlignment="1" applyProtection="1">
      <alignment horizontal="center" vertical="center" wrapText="1"/>
      <protection hidden="1"/>
    </xf>
    <xf numFmtId="0" fontId="25" fillId="0" borderId="22" xfId="0" applyFont="1" applyBorder="1" applyAlignment="1" applyProtection="1">
      <alignment horizontal="center" vertical="center" wrapText="1"/>
      <protection hidden="1"/>
    </xf>
    <xf numFmtId="0" fontId="25" fillId="0" borderId="35" xfId="0" applyFont="1" applyBorder="1" applyAlignment="1" applyProtection="1">
      <alignment horizontal="center" vertical="center" wrapText="1"/>
      <protection hidden="1"/>
    </xf>
    <xf numFmtId="0" fontId="6" fillId="0" borderId="22" xfId="0" applyFont="1" applyBorder="1" applyAlignment="1" applyProtection="1">
      <alignment horizontal="center" vertical="center" wrapText="1"/>
      <protection hidden="1"/>
    </xf>
    <xf numFmtId="0" fontId="6" fillId="0" borderId="31" xfId="0" applyFont="1" applyBorder="1" applyAlignment="1" applyProtection="1">
      <alignment horizontal="center" vertical="center" wrapText="1"/>
      <protection hidden="1"/>
    </xf>
    <xf numFmtId="0" fontId="6" fillId="0" borderId="36" xfId="0" applyFont="1" applyBorder="1" applyAlignment="1" applyProtection="1">
      <alignment horizontal="center" vertical="center" wrapText="1"/>
      <protection hidden="1"/>
    </xf>
    <xf numFmtId="0" fontId="6" fillId="0" borderId="37" xfId="0" applyFont="1" applyBorder="1" applyAlignment="1" applyProtection="1">
      <alignment horizontal="center" vertical="center" wrapText="1"/>
      <protection hidden="1"/>
    </xf>
    <xf numFmtId="0" fontId="6" fillId="3" borderId="37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0" fillId="17" borderId="0" xfId="0" applyFill="1" applyProtection="1">
      <protection hidden="1"/>
    </xf>
    <xf numFmtId="0" fontId="11" fillId="11" borderId="28" xfId="0" applyFont="1" applyFill="1" applyBorder="1" applyAlignment="1" applyProtection="1">
      <alignment horizontal="center" vertical="center" wrapText="1"/>
      <protection hidden="1"/>
    </xf>
    <xf numFmtId="0" fontId="11" fillId="11" borderId="29" xfId="0" applyFont="1" applyFill="1" applyBorder="1" applyAlignment="1" applyProtection="1">
      <alignment horizontal="center" vertical="center" wrapText="1"/>
      <protection hidden="1"/>
    </xf>
    <xf numFmtId="0" fontId="10" fillId="6" borderId="2" xfId="0" applyFont="1" applyFill="1" applyBorder="1" applyAlignment="1" applyProtection="1">
      <alignment vertical="center" wrapText="1"/>
      <protection hidden="1"/>
    </xf>
    <xf numFmtId="0" fontId="6" fillId="6" borderId="32" xfId="0" applyFont="1" applyFill="1" applyBorder="1" applyAlignment="1" applyProtection="1">
      <alignment horizontal="center" vertical="center" wrapText="1"/>
      <protection hidden="1"/>
    </xf>
    <xf numFmtId="0" fontId="10" fillId="10" borderId="2" xfId="0" applyFont="1" applyFill="1" applyBorder="1" applyAlignment="1" applyProtection="1">
      <alignment vertical="center" wrapText="1"/>
      <protection hidden="1"/>
    </xf>
    <xf numFmtId="0" fontId="6" fillId="2" borderId="14" xfId="0" applyFont="1" applyFill="1" applyBorder="1" applyAlignment="1" applyProtection="1">
      <alignment horizontal="right" vertical="center" wrapText="1"/>
      <protection hidden="1"/>
    </xf>
    <xf numFmtId="0" fontId="0" fillId="0" borderId="9" xfId="0" applyBorder="1" applyProtection="1">
      <protection hidden="1"/>
    </xf>
    <xf numFmtId="0" fontId="5" fillId="2" borderId="21" xfId="0" applyFont="1" applyFill="1" applyBorder="1" applyAlignment="1" applyProtection="1">
      <alignment horizontal="center" vertical="center" wrapText="1"/>
      <protection hidden="1"/>
    </xf>
    <xf numFmtId="0" fontId="0" fillId="8" borderId="21" xfId="0" applyFill="1" applyBorder="1" applyProtection="1">
      <protection hidden="1"/>
    </xf>
    <xf numFmtId="0" fontId="0" fillId="8" borderId="20" xfId="0" applyFill="1" applyBorder="1" applyProtection="1">
      <protection hidden="1"/>
    </xf>
    <xf numFmtId="0" fontId="6" fillId="2" borderId="23" xfId="0" applyFont="1" applyFill="1" applyBorder="1" applyAlignment="1" applyProtection="1">
      <alignment horizontal="left" vertical="center" wrapText="1"/>
      <protection hidden="1"/>
    </xf>
    <xf numFmtId="0" fontId="44" fillId="0" borderId="10" xfId="0" applyFont="1" applyBorder="1" applyAlignment="1" applyProtection="1">
      <alignment horizontal="right"/>
      <protection hidden="1"/>
    </xf>
    <xf numFmtId="0" fontId="31" fillId="7" borderId="0" xfId="0" applyFont="1" applyFill="1" applyProtection="1">
      <protection hidden="1"/>
    </xf>
    <xf numFmtId="0" fontId="31" fillId="7" borderId="0" xfId="0" applyFont="1" applyFill="1" applyAlignment="1" applyProtection="1">
      <alignment horizontal="right"/>
      <protection hidden="1"/>
    </xf>
    <xf numFmtId="164" fontId="31" fillId="7" borderId="0" xfId="0" applyNumberFormat="1" applyFont="1" applyFill="1" applyProtection="1">
      <protection hidden="1"/>
    </xf>
    <xf numFmtId="0" fontId="42" fillId="7" borderId="0" xfId="0" applyFont="1" applyFill="1" applyAlignment="1" applyProtection="1">
      <alignment horizontal="right"/>
      <protection hidden="1"/>
    </xf>
    <xf numFmtId="164" fontId="42" fillId="7" borderId="0" xfId="0" applyNumberFormat="1" applyFont="1" applyFill="1" applyProtection="1">
      <protection hidden="1"/>
    </xf>
    <xf numFmtId="0" fontId="6" fillId="0" borderId="40" xfId="0" applyFont="1" applyBorder="1" applyAlignment="1" applyProtection="1">
      <alignment horizontal="center" vertical="center" wrapText="1"/>
      <protection hidden="1"/>
    </xf>
    <xf numFmtId="0" fontId="6" fillId="0" borderId="43" xfId="0" applyFont="1" applyBorder="1" applyAlignment="1" applyProtection="1">
      <alignment horizontal="center" vertical="center" wrapText="1"/>
      <protection hidden="1"/>
    </xf>
    <xf numFmtId="0" fontId="6" fillId="0" borderId="44" xfId="0" applyFont="1" applyBorder="1" applyAlignment="1" applyProtection="1">
      <alignment horizontal="center" vertical="center" wrapText="1"/>
      <protection hidden="1"/>
    </xf>
    <xf numFmtId="0" fontId="9" fillId="0" borderId="30" xfId="0" applyFont="1" applyBorder="1" applyAlignment="1" applyProtection="1">
      <alignment horizontal="left" vertical="center" wrapText="1"/>
      <protection hidden="1"/>
    </xf>
    <xf numFmtId="0" fontId="6" fillId="0" borderId="38" xfId="0" applyFont="1" applyBorder="1" applyAlignment="1" applyProtection="1">
      <alignment horizontal="center" vertical="center" wrapText="1"/>
      <protection hidden="1"/>
    </xf>
    <xf numFmtId="0" fontId="11" fillId="11" borderId="41" xfId="0" applyFont="1" applyFill="1" applyBorder="1" applyAlignment="1" applyProtection="1">
      <alignment horizontal="center" vertical="center" wrapText="1"/>
      <protection hidden="1"/>
    </xf>
    <xf numFmtId="0" fontId="11" fillId="11" borderId="42" xfId="0" applyFont="1" applyFill="1" applyBorder="1" applyAlignment="1" applyProtection="1">
      <alignment horizontal="center" vertical="center" wrapText="1"/>
      <protection hidden="1"/>
    </xf>
    <xf numFmtId="0" fontId="20" fillId="11" borderId="0" xfId="0" applyFont="1" applyFill="1" applyAlignment="1" applyProtection="1">
      <alignment horizontal="right"/>
      <protection hidden="1"/>
    </xf>
    <xf numFmtId="0" fontId="31" fillId="7" borderId="0" xfId="0" applyFont="1" applyFill="1" applyAlignment="1" applyProtection="1">
      <alignment horizontal="left"/>
      <protection hidden="1"/>
    </xf>
    <xf numFmtId="164" fontId="0" fillId="0" borderId="0" xfId="0" applyNumberFormat="1" applyProtection="1">
      <protection hidden="1"/>
    </xf>
    <xf numFmtId="0" fontId="0" fillId="0" borderId="21" xfId="0" applyBorder="1" applyAlignment="1" applyProtection="1">
      <alignment horizontal="left"/>
      <protection hidden="1"/>
    </xf>
    <xf numFmtId="0" fontId="7" fillId="10" borderId="2" xfId="0" applyFont="1" applyFill="1" applyBorder="1" applyAlignment="1" applyProtection="1">
      <alignment vertical="center" wrapText="1"/>
      <protection hidden="1"/>
    </xf>
    <xf numFmtId="0" fontId="8" fillId="7" borderId="2" xfId="0" applyFont="1" applyFill="1" applyBorder="1" applyAlignment="1" applyProtection="1">
      <alignment vertical="center" wrapText="1"/>
      <protection hidden="1"/>
    </xf>
    <xf numFmtId="0" fontId="13" fillId="0" borderId="21" xfId="0" applyFont="1" applyBorder="1" applyAlignment="1" applyProtection="1">
      <alignment horizontal="center"/>
      <protection hidden="1"/>
    </xf>
    <xf numFmtId="0" fontId="0" fillId="7" borderId="21" xfId="0" applyFill="1" applyBorder="1" applyProtection="1">
      <protection hidden="1"/>
    </xf>
    <xf numFmtId="0" fontId="46" fillId="0" borderId="0" xfId="0" applyFont="1" applyAlignment="1" applyProtection="1">
      <alignment horizontal="left"/>
      <protection hidden="1"/>
    </xf>
    <xf numFmtId="164" fontId="18" fillId="7" borderId="0" xfId="0" applyNumberFormat="1" applyFont="1" applyFill="1" applyAlignment="1" applyProtection="1">
      <alignment horizontal="center"/>
      <protection hidden="1"/>
    </xf>
    <xf numFmtId="164" fontId="18" fillId="7" borderId="0" xfId="0" applyNumberFormat="1" applyFont="1" applyFill="1" applyAlignment="1" applyProtection="1">
      <alignment horizontal="right"/>
      <protection hidden="1"/>
    </xf>
    <xf numFmtId="164" fontId="18" fillId="7" borderId="0" xfId="0" applyNumberFormat="1" applyFont="1" applyFill="1" applyAlignment="1" applyProtection="1">
      <alignment horizontal="left"/>
      <protection hidden="1"/>
    </xf>
    <xf numFmtId="0" fontId="45" fillId="0" borderId="0" xfId="0" applyFont="1" applyProtection="1">
      <protection hidden="1"/>
    </xf>
    <xf numFmtId="0" fontId="12" fillId="0" borderId="2" xfId="0" applyFont="1" applyBorder="1" applyAlignment="1" applyProtection="1">
      <alignment horizontal="left" vertical="center" wrapText="1"/>
      <protection hidden="1"/>
    </xf>
    <xf numFmtId="0" fontId="5" fillId="3" borderId="49" xfId="0" applyFont="1" applyFill="1" applyBorder="1" applyAlignment="1" applyProtection="1">
      <alignment horizontal="center" vertical="center" wrapText="1"/>
      <protection hidden="1"/>
    </xf>
    <xf numFmtId="0" fontId="0" fillId="0" borderId="24" xfId="0" applyBorder="1" applyProtection="1">
      <protection hidden="1"/>
    </xf>
    <xf numFmtId="0" fontId="10" fillId="3" borderId="37" xfId="0" applyFont="1" applyFill="1" applyBorder="1" applyAlignment="1" applyProtection="1">
      <alignment horizontal="center" vertical="center" wrapText="1"/>
      <protection hidden="1"/>
    </xf>
    <xf numFmtId="0" fontId="10" fillId="3" borderId="46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0" fillId="6" borderId="0" xfId="0" applyFill="1" applyProtection="1">
      <protection hidden="1"/>
    </xf>
    <xf numFmtId="0" fontId="51" fillId="7" borderId="0" xfId="0" applyFont="1" applyFill="1" applyProtection="1">
      <protection hidden="1"/>
    </xf>
    <xf numFmtId="0" fontId="52" fillId="7" borderId="0" xfId="0" applyFont="1" applyFill="1" applyAlignment="1" applyProtection="1">
      <alignment horizontal="center"/>
      <protection hidden="1"/>
    </xf>
    <xf numFmtId="0" fontId="10" fillId="3" borderId="34" xfId="0" applyFont="1" applyFill="1" applyBorder="1" applyAlignment="1" applyProtection="1">
      <alignment horizontal="center" vertical="center" wrapText="1"/>
      <protection hidden="1"/>
    </xf>
    <xf numFmtId="0" fontId="6" fillId="0" borderId="48" xfId="0" applyFont="1" applyBorder="1" applyAlignment="1" applyProtection="1">
      <alignment horizontal="center" vertical="center" wrapText="1"/>
      <protection hidden="1"/>
    </xf>
    <xf numFmtId="0" fontId="53" fillId="7" borderId="0" xfId="0" applyFont="1" applyFill="1" applyProtection="1">
      <protection hidden="1"/>
    </xf>
    <xf numFmtId="0" fontId="0" fillId="0" borderId="0" xfId="0" applyAlignment="1" applyProtection="1">
      <alignment vertical="center"/>
      <protection hidden="1"/>
    </xf>
    <xf numFmtId="0" fontId="6" fillId="0" borderId="56" xfId="0" applyFont="1" applyBorder="1" applyAlignment="1" applyProtection="1">
      <alignment horizontal="center" vertical="center" wrapText="1"/>
      <protection hidden="1"/>
    </xf>
    <xf numFmtId="0" fontId="37" fillId="13" borderId="0" xfId="0" applyFont="1" applyFill="1"/>
    <xf numFmtId="0" fontId="17" fillId="9" borderId="0" xfId="0" applyFont="1" applyFill="1" applyAlignment="1" applyProtection="1">
      <alignment horizontal="center"/>
      <protection hidden="1"/>
    </xf>
    <xf numFmtId="0" fontId="23" fillId="6" borderId="5" xfId="0" applyFont="1" applyFill="1" applyBorder="1" applyAlignment="1" applyProtection="1">
      <alignment vertical="center" wrapText="1"/>
      <protection hidden="1"/>
    </xf>
    <xf numFmtId="0" fontId="23" fillId="6" borderId="39" xfId="0" applyFont="1" applyFill="1" applyBorder="1" applyAlignment="1" applyProtection="1">
      <alignment vertical="center" wrapText="1"/>
      <protection hidden="1"/>
    </xf>
    <xf numFmtId="0" fontId="23" fillId="6" borderId="45" xfId="0" applyFont="1" applyFill="1" applyBorder="1" applyAlignment="1" applyProtection="1">
      <alignment vertical="center" wrapText="1"/>
      <protection hidden="1"/>
    </xf>
    <xf numFmtId="0" fontId="42" fillId="15" borderId="0" xfId="0" applyFont="1" applyFill="1" applyProtection="1">
      <protection hidden="1"/>
    </xf>
    <xf numFmtId="0" fontId="12" fillId="6" borderId="58" xfId="0" applyFont="1" applyFill="1" applyBorder="1" applyAlignment="1" applyProtection="1">
      <alignment vertical="center" wrapText="1"/>
      <protection locked="0" hidden="1"/>
    </xf>
    <xf numFmtId="0" fontId="9" fillId="0" borderId="57" xfId="0" applyFont="1" applyBorder="1" applyAlignment="1" applyProtection="1">
      <alignment vertical="center" wrapText="1"/>
      <protection hidden="1"/>
    </xf>
    <xf numFmtId="0" fontId="6" fillId="0" borderId="57" xfId="0" applyFont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6" fillId="10" borderId="1" xfId="0" applyFont="1" applyFill="1" applyBorder="1" applyAlignment="1" applyProtection="1">
      <alignment horizontal="center" vertical="center" wrapText="1"/>
      <protection hidden="1"/>
    </xf>
    <xf numFmtId="0" fontId="6" fillId="10" borderId="2" xfId="0" applyFont="1" applyFill="1" applyBorder="1" applyAlignment="1" applyProtection="1">
      <alignment horizontal="center" vertical="center" wrapText="1"/>
      <protection hidden="1"/>
    </xf>
    <xf numFmtId="0" fontId="6" fillId="10" borderId="57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left" vertical="center" wrapText="1"/>
      <protection hidden="1"/>
    </xf>
    <xf numFmtId="0" fontId="10" fillId="16" borderId="1" xfId="0" applyFont="1" applyFill="1" applyBorder="1" applyAlignment="1" applyProtection="1">
      <alignment horizontal="left" vertical="center" wrapText="1"/>
      <protection hidden="1"/>
    </xf>
    <xf numFmtId="0" fontId="22" fillId="0" borderId="47" xfId="0" applyFont="1" applyBorder="1" applyAlignment="1" applyProtection="1">
      <alignment horizontal="right"/>
      <protection hidden="1"/>
    </xf>
    <xf numFmtId="164" fontId="42" fillId="7" borderId="49" xfId="0" applyNumberFormat="1" applyFont="1" applyFill="1" applyBorder="1" applyProtection="1">
      <protection hidden="1"/>
    </xf>
    <xf numFmtId="0" fontId="31" fillId="7" borderId="49" xfId="0" applyFont="1" applyFill="1" applyBorder="1" applyAlignment="1" applyProtection="1">
      <alignment horizontal="center"/>
      <protection hidden="1"/>
    </xf>
    <xf numFmtId="0" fontId="31" fillId="7" borderId="49" xfId="0" applyFont="1" applyFill="1" applyBorder="1" applyAlignment="1" applyProtection="1">
      <alignment horizontal="left"/>
      <protection hidden="1"/>
    </xf>
    <xf numFmtId="0" fontId="31" fillId="7" borderId="49" xfId="0" applyFont="1" applyFill="1" applyBorder="1" applyProtection="1">
      <protection hidden="1"/>
    </xf>
    <xf numFmtId="0" fontId="42" fillId="7" borderId="49" xfId="0" applyFont="1" applyFill="1" applyBorder="1" applyAlignment="1" applyProtection="1">
      <alignment horizontal="right"/>
      <protection hidden="1"/>
    </xf>
    <xf numFmtId="0" fontId="35" fillId="18" borderId="62" xfId="0" applyFont="1" applyFill="1" applyBorder="1" applyAlignment="1" applyProtection="1">
      <alignment horizontal="right" wrapText="1" shrinkToFit="1"/>
      <protection hidden="1"/>
    </xf>
    <xf numFmtId="0" fontId="16" fillId="0" borderId="55" xfId="0" applyFont="1" applyBorder="1" applyAlignment="1" applyProtection="1">
      <alignment horizontal="center"/>
      <protection hidden="1"/>
    </xf>
    <xf numFmtId="0" fontId="44" fillId="0" borderId="0" xfId="0" applyFont="1" applyAlignment="1" applyProtection="1">
      <alignment horizontal="right" vertical="center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57" fillId="5" borderId="24" xfId="0" applyFont="1" applyFill="1" applyBorder="1" applyAlignment="1" applyProtection="1">
      <alignment horizontal="center" vertical="center"/>
      <protection hidden="1"/>
    </xf>
    <xf numFmtId="0" fontId="57" fillId="5" borderId="25" xfId="0" applyFont="1" applyFill="1" applyBorder="1" applyAlignment="1" applyProtection="1">
      <alignment horizontal="center" vertical="center"/>
      <protection hidden="1"/>
    </xf>
    <xf numFmtId="0" fontId="57" fillId="5" borderId="26" xfId="0" applyFont="1" applyFill="1" applyBorder="1" applyAlignment="1" applyProtection="1">
      <alignment horizontal="center" vertical="center"/>
      <protection hidden="1"/>
    </xf>
    <xf numFmtId="0" fontId="58" fillId="0" borderId="25" xfId="0" applyFont="1" applyBorder="1" applyAlignment="1" applyProtection="1">
      <alignment horizontal="center" vertical="center" wrapText="1"/>
      <protection hidden="1"/>
    </xf>
    <xf numFmtId="0" fontId="59" fillId="3" borderId="46" xfId="0" applyFont="1" applyFill="1" applyBorder="1" applyAlignment="1" applyProtection="1">
      <alignment horizontal="center" vertical="center" wrapText="1"/>
      <protection hidden="1"/>
    </xf>
    <xf numFmtId="0" fontId="58" fillId="0" borderId="24" xfId="0" applyFont="1" applyBorder="1" applyAlignment="1" applyProtection="1">
      <alignment horizontal="center" vertical="center" wrapText="1"/>
      <protection hidden="1"/>
    </xf>
    <xf numFmtId="0" fontId="60" fillId="3" borderId="49" xfId="0" applyFont="1" applyFill="1" applyBorder="1" applyAlignment="1" applyProtection="1">
      <alignment horizontal="center" vertical="center" wrapText="1"/>
      <protection hidden="1"/>
    </xf>
    <xf numFmtId="0" fontId="58" fillId="3" borderId="0" xfId="0" applyFont="1" applyFill="1" applyAlignment="1" applyProtection="1">
      <alignment horizontal="center" vertical="center" wrapText="1"/>
      <protection hidden="1"/>
    </xf>
    <xf numFmtId="0" fontId="58" fillId="6" borderId="32" xfId="0" applyFont="1" applyFill="1" applyBorder="1" applyAlignment="1" applyProtection="1">
      <alignment horizontal="center" vertical="center" wrapText="1"/>
      <protection hidden="1"/>
    </xf>
    <xf numFmtId="0" fontId="58" fillId="0" borderId="26" xfId="0" applyFont="1" applyBorder="1" applyAlignment="1" applyProtection="1">
      <alignment horizontal="center" vertical="center" wrapText="1"/>
      <protection hidden="1"/>
    </xf>
    <xf numFmtId="0" fontId="11" fillId="11" borderId="15" xfId="0" applyFont="1" applyFill="1" applyBorder="1" applyAlignment="1" applyProtection="1">
      <alignment horizontal="center" vertical="center" wrapText="1"/>
      <protection hidden="1"/>
    </xf>
    <xf numFmtId="164" fontId="22" fillId="0" borderId="21" xfId="0" applyNumberFormat="1" applyFont="1" applyBorder="1" applyProtection="1">
      <protection hidden="1"/>
    </xf>
    <xf numFmtId="164" fontId="22" fillId="0" borderId="49" xfId="0" applyNumberFormat="1" applyFont="1" applyBorder="1" applyProtection="1">
      <protection hidden="1"/>
    </xf>
    <xf numFmtId="164" fontId="22" fillId="0" borderId="0" xfId="0" applyNumberFormat="1" applyFont="1" applyProtection="1">
      <protection hidden="1"/>
    </xf>
    <xf numFmtId="164" fontId="21" fillId="0" borderId="23" xfId="0" applyNumberFormat="1" applyFont="1" applyBorder="1" applyProtection="1">
      <protection hidden="1"/>
    </xf>
    <xf numFmtId="0" fontId="21" fillId="0" borderId="54" xfId="0" applyFont="1" applyBorder="1" applyAlignment="1" applyProtection="1">
      <alignment horizontal="left"/>
      <protection hidden="1"/>
    </xf>
    <xf numFmtId="0" fontId="0" fillId="6" borderId="48" xfId="0" applyFill="1" applyBorder="1" applyAlignment="1" applyProtection="1">
      <alignment horizontal="center"/>
      <protection hidden="1"/>
    </xf>
    <xf numFmtId="0" fontId="31" fillId="6" borderId="48" xfId="0" applyFont="1" applyFill="1" applyBorder="1" applyAlignment="1" applyProtection="1">
      <alignment horizontal="center"/>
      <protection hidden="1"/>
    </xf>
    <xf numFmtId="0" fontId="11" fillId="20" borderId="0" xfId="0" applyFont="1" applyFill="1" applyAlignment="1" applyProtection="1">
      <alignment horizontal="center" vertical="center" wrapText="1"/>
      <protection hidden="1"/>
    </xf>
    <xf numFmtId="0" fontId="10" fillId="0" borderId="71" xfId="0" applyFont="1" applyBorder="1" applyAlignment="1" applyProtection="1">
      <alignment vertical="center" wrapText="1"/>
      <protection hidden="1"/>
    </xf>
    <xf numFmtId="0" fontId="54" fillId="13" borderId="0" xfId="1" applyFill="1"/>
    <xf numFmtId="0" fontId="0" fillId="6" borderId="0" xfId="0" applyFill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3" fillId="18" borderId="73" xfId="0" applyFont="1" applyFill="1" applyBorder="1" applyAlignment="1" applyProtection="1">
      <alignment vertical="center" wrapText="1"/>
      <protection hidden="1"/>
    </xf>
    <xf numFmtId="0" fontId="0" fillId="6" borderId="48" xfId="0" applyFill="1" applyBorder="1" applyAlignment="1" applyProtection="1">
      <alignment horizontal="right"/>
      <protection hidden="1"/>
    </xf>
    <xf numFmtId="0" fontId="0" fillId="6" borderId="0" xfId="0" applyFill="1" applyAlignment="1" applyProtection="1">
      <alignment horizontal="right"/>
      <protection hidden="1"/>
    </xf>
    <xf numFmtId="164" fontId="0" fillId="6" borderId="0" xfId="0" applyNumberFormat="1" applyFill="1" applyProtection="1">
      <protection hidden="1"/>
    </xf>
    <xf numFmtId="0" fontId="31" fillId="6" borderId="0" xfId="0" applyFont="1" applyFill="1" applyProtection="1">
      <protection hidden="1"/>
    </xf>
    <xf numFmtId="0" fontId="31" fillId="6" borderId="0" xfId="0" applyFont="1" applyFill="1" applyAlignment="1" applyProtection="1">
      <alignment horizontal="right"/>
      <protection hidden="1"/>
    </xf>
    <xf numFmtId="164" fontId="31" fillId="6" borderId="0" xfId="0" applyNumberFormat="1" applyFont="1" applyFill="1" applyProtection="1">
      <protection hidden="1"/>
    </xf>
    <xf numFmtId="0" fontId="61" fillId="7" borderId="0" xfId="0" applyFont="1" applyFill="1" applyAlignment="1" applyProtection="1">
      <alignment horizontal="right"/>
      <protection hidden="1"/>
    </xf>
    <xf numFmtId="0" fontId="0" fillId="17" borderId="0" xfId="0" applyFill="1" applyAlignment="1" applyProtection="1">
      <alignment horizontal="left"/>
      <protection hidden="1"/>
    </xf>
    <xf numFmtId="0" fontId="40" fillId="0" borderId="0" xfId="0" applyFont="1" applyAlignment="1" applyProtection="1">
      <alignment horizontal="left"/>
      <protection hidden="1"/>
    </xf>
    <xf numFmtId="0" fontId="5" fillId="4" borderId="74" xfId="0" applyFont="1" applyFill="1" applyBorder="1" applyAlignment="1" applyProtection="1">
      <alignment horizontal="center" vertical="center" wrapText="1"/>
      <protection hidden="1"/>
    </xf>
    <xf numFmtId="0" fontId="63" fillId="19" borderId="5" xfId="0" applyFont="1" applyFill="1" applyBorder="1" applyAlignment="1" applyProtection="1">
      <alignment horizontal="center" vertical="center" wrapText="1"/>
      <protection hidden="1"/>
    </xf>
    <xf numFmtId="0" fontId="65" fillId="7" borderId="13" xfId="0" applyFont="1" applyFill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center"/>
      <protection hidden="1"/>
    </xf>
    <xf numFmtId="0" fontId="0" fillId="0" borderId="55" xfId="0" applyBorder="1" applyProtection="1">
      <protection hidden="1"/>
    </xf>
    <xf numFmtId="0" fontId="64" fillId="7" borderId="55" xfId="0" applyFont="1" applyFill="1" applyBorder="1" applyProtection="1">
      <protection hidden="1"/>
    </xf>
    <xf numFmtId="0" fontId="66" fillId="0" borderId="0" xfId="0" applyFont="1" applyAlignment="1" applyProtection="1">
      <alignment horizontal="center" wrapText="1"/>
      <protection hidden="1"/>
    </xf>
    <xf numFmtId="164" fontId="49" fillId="0" borderId="0" xfId="0" applyNumberFormat="1" applyFont="1" applyProtection="1">
      <protection hidden="1"/>
    </xf>
    <xf numFmtId="164" fontId="49" fillId="7" borderId="0" xfId="0" applyNumberFormat="1" applyFont="1" applyFill="1" applyAlignment="1" applyProtection="1">
      <alignment horizontal="center"/>
      <protection hidden="1"/>
    </xf>
    <xf numFmtId="0" fontId="67" fillId="7" borderId="2" xfId="0" applyFont="1" applyFill="1" applyBorder="1" applyAlignment="1" applyProtection="1">
      <alignment vertical="center" wrapText="1"/>
      <protection hidden="1"/>
    </xf>
    <xf numFmtId="0" fontId="68" fillId="0" borderId="25" xfId="0" applyFont="1" applyBorder="1" applyAlignment="1" applyProtection="1">
      <alignment horizontal="center" vertical="center" wrapText="1"/>
      <protection hidden="1"/>
    </xf>
    <xf numFmtId="0" fontId="6" fillId="0" borderId="75" xfId="0" applyFont="1" applyBorder="1" applyAlignment="1" applyProtection="1">
      <alignment horizontal="center" vertical="center" wrapText="1"/>
      <protection hidden="1"/>
    </xf>
    <xf numFmtId="0" fontId="6" fillId="3" borderId="33" xfId="0" applyFont="1" applyFill="1" applyBorder="1" applyAlignment="1" applyProtection="1">
      <alignment horizontal="center" vertical="center" wrapText="1"/>
      <protection hidden="1"/>
    </xf>
    <xf numFmtId="0" fontId="6" fillId="0" borderId="76" xfId="0" applyFont="1" applyBorder="1" applyAlignment="1" applyProtection="1">
      <alignment horizontal="center" vertical="center" wrapText="1"/>
      <protection hidden="1"/>
    </xf>
    <xf numFmtId="2" fontId="6" fillId="0" borderId="1" xfId="0" applyNumberFormat="1" applyFont="1" applyBorder="1" applyAlignment="1" applyProtection="1">
      <alignment horizontal="center" vertical="center" wrapText="1"/>
      <protection hidden="1"/>
    </xf>
    <xf numFmtId="2" fontId="6" fillId="0" borderId="2" xfId="0" applyNumberFormat="1" applyFont="1" applyBorder="1" applyAlignment="1" applyProtection="1">
      <alignment horizontal="center" vertical="center" wrapText="1"/>
      <protection hidden="1"/>
    </xf>
    <xf numFmtId="2" fontId="6" fillId="0" borderId="34" xfId="0" applyNumberFormat="1" applyFont="1" applyBorder="1" applyAlignment="1" applyProtection="1">
      <alignment horizontal="center" vertical="center" wrapText="1"/>
      <protection hidden="1"/>
    </xf>
    <xf numFmtId="2" fontId="6" fillId="3" borderId="2" xfId="0" applyNumberFormat="1" applyFont="1" applyFill="1" applyBorder="1" applyAlignment="1" applyProtection="1">
      <alignment horizontal="center" vertical="center" wrapText="1"/>
      <protection hidden="1"/>
    </xf>
    <xf numFmtId="2" fontId="6" fillId="0" borderId="30" xfId="0" applyNumberFormat="1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9" fillId="15" borderId="2" xfId="0" applyFont="1" applyFill="1" applyBorder="1" applyAlignment="1" applyProtection="1">
      <alignment horizontal="center" vertical="center" wrapText="1"/>
      <protection hidden="1"/>
    </xf>
    <xf numFmtId="0" fontId="69" fillId="7" borderId="2" xfId="0" applyFont="1" applyFill="1" applyBorder="1" applyAlignment="1" applyProtection="1">
      <alignment vertical="center" wrapText="1"/>
      <protection hidden="1"/>
    </xf>
    <xf numFmtId="0" fontId="0" fillId="7" borderId="20" xfId="0" applyFill="1" applyBorder="1" applyProtection="1">
      <protection hidden="1"/>
    </xf>
    <xf numFmtId="0" fontId="0" fillId="7" borderId="18" xfId="0" applyFill="1" applyBorder="1" applyProtection="1">
      <protection hidden="1"/>
    </xf>
    <xf numFmtId="0" fontId="0" fillId="0" borderId="20" xfId="0" applyBorder="1" applyProtection="1">
      <protection hidden="1"/>
    </xf>
    <xf numFmtId="0" fontId="0" fillId="7" borderId="23" xfId="0" applyFill="1" applyBorder="1" applyProtection="1">
      <protection hidden="1"/>
    </xf>
    <xf numFmtId="0" fontId="0" fillId="0" borderId="18" xfId="0" applyBorder="1" applyProtection="1">
      <protection hidden="1"/>
    </xf>
    <xf numFmtId="0" fontId="35" fillId="18" borderId="59" xfId="0" applyFont="1" applyFill="1" applyBorder="1" applyAlignment="1" applyProtection="1">
      <alignment horizontal="right" vertical="center"/>
      <protection hidden="1"/>
    </xf>
    <xf numFmtId="0" fontId="32" fillId="18" borderId="60" xfId="0" applyFont="1" applyFill="1" applyBorder="1" applyAlignment="1" applyProtection="1">
      <alignment horizontal="center" vertical="center"/>
      <protection hidden="1"/>
    </xf>
    <xf numFmtId="0" fontId="31" fillId="18" borderId="60" xfId="0" applyFont="1" applyFill="1" applyBorder="1" applyAlignment="1" applyProtection="1">
      <alignment vertical="center"/>
      <protection hidden="1"/>
    </xf>
    <xf numFmtId="0" fontId="0" fillId="18" borderId="60" xfId="0" applyFill="1" applyBorder="1" applyAlignment="1" applyProtection="1">
      <alignment vertical="center"/>
      <protection hidden="1"/>
    </xf>
    <xf numFmtId="0" fontId="18" fillId="18" borderId="61" xfId="0" applyFont="1" applyFill="1" applyBorder="1" applyAlignment="1" applyProtection="1">
      <alignment horizontal="left" vertical="center"/>
      <protection hidden="1"/>
    </xf>
    <xf numFmtId="0" fontId="34" fillId="18" borderId="65" xfId="0" applyFont="1" applyFill="1" applyBorder="1" applyAlignment="1" applyProtection="1">
      <alignment vertical="center"/>
      <protection hidden="1"/>
    </xf>
    <xf numFmtId="0" fontId="0" fillId="18" borderId="65" xfId="0" applyFill="1" applyBorder="1" applyAlignment="1" applyProtection="1">
      <alignment vertical="center"/>
      <protection hidden="1"/>
    </xf>
    <xf numFmtId="0" fontId="18" fillId="18" borderId="66" xfId="0" applyFont="1" applyFill="1" applyBorder="1" applyAlignment="1" applyProtection="1">
      <alignment horizontal="left" vertical="center"/>
      <protection hidden="1"/>
    </xf>
    <xf numFmtId="0" fontId="0" fillId="7" borderId="14" xfId="0" applyFill="1" applyBorder="1" applyProtection="1">
      <protection hidden="1"/>
    </xf>
    <xf numFmtId="0" fontId="6" fillId="0" borderId="78" xfId="0" applyFont="1" applyBorder="1" applyAlignment="1" applyProtection="1">
      <alignment horizontal="center" vertical="center" wrapText="1"/>
      <protection hidden="1"/>
    </xf>
    <xf numFmtId="0" fontId="6" fillId="0" borderId="79" xfId="0" applyFont="1" applyBorder="1" applyAlignment="1" applyProtection="1">
      <alignment horizontal="center" vertical="center" wrapText="1"/>
      <protection hidden="1"/>
    </xf>
    <xf numFmtId="0" fontId="6" fillId="0" borderId="81" xfId="0" applyFont="1" applyBorder="1" applyAlignment="1" applyProtection="1">
      <alignment horizontal="center" vertical="center" wrapText="1"/>
      <protection hidden="1"/>
    </xf>
    <xf numFmtId="0" fontId="6" fillId="0" borderId="82" xfId="0" applyFont="1" applyBorder="1" applyAlignment="1" applyProtection="1">
      <alignment horizontal="center" vertical="center" wrapText="1"/>
      <protection hidden="1"/>
    </xf>
    <xf numFmtId="0" fontId="6" fillId="0" borderId="83" xfId="0" applyFont="1" applyBorder="1" applyAlignment="1" applyProtection="1">
      <alignment horizontal="center" vertical="center" wrapText="1"/>
      <protection hidden="1"/>
    </xf>
    <xf numFmtId="0" fontId="10" fillId="0" borderId="57" xfId="0" applyFont="1" applyBorder="1" applyAlignment="1" applyProtection="1">
      <alignment vertical="center" wrapText="1"/>
      <protection hidden="1"/>
    </xf>
    <xf numFmtId="0" fontId="6" fillId="0" borderId="77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left" vertical="center" wrapText="1"/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84" xfId="0" applyFont="1" applyFill="1" applyBorder="1" applyAlignment="1" applyProtection="1">
      <alignment horizontal="center" vertical="center" wrapText="1"/>
      <protection hidden="1"/>
    </xf>
    <xf numFmtId="0" fontId="10" fillId="0" borderId="58" xfId="0" applyFont="1" applyBorder="1" applyAlignment="1" applyProtection="1">
      <alignment vertical="center" wrapText="1"/>
      <protection hidden="1"/>
    </xf>
    <xf numFmtId="0" fontId="6" fillId="0" borderId="85" xfId="0" applyFont="1" applyBorder="1" applyAlignment="1" applyProtection="1">
      <alignment horizontal="center" vertical="center" wrapText="1"/>
      <protection hidden="1"/>
    </xf>
    <xf numFmtId="0" fontId="6" fillId="5" borderId="82" xfId="0" applyFont="1" applyFill="1" applyBorder="1" applyAlignment="1" applyProtection="1">
      <alignment horizontal="center" vertical="center" wrapText="1"/>
      <protection hidden="1"/>
    </xf>
    <xf numFmtId="0" fontId="6" fillId="5" borderId="13" xfId="0" applyFont="1" applyFill="1" applyBorder="1" applyAlignment="1" applyProtection="1">
      <alignment horizontal="center" vertical="center" wrapText="1"/>
      <protection hidden="1"/>
    </xf>
    <xf numFmtId="0" fontId="6" fillId="4" borderId="13" xfId="0" applyFont="1" applyFill="1" applyBorder="1" applyAlignment="1" applyProtection="1">
      <alignment horizontal="center" vertical="center" wrapText="1"/>
      <protection hidden="1"/>
    </xf>
    <xf numFmtId="0" fontId="11" fillId="4" borderId="12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right"/>
      <protection hidden="1"/>
    </xf>
    <xf numFmtId="2" fontId="45" fillId="8" borderId="0" xfId="0" applyNumberFormat="1" applyFont="1" applyFill="1" applyAlignment="1" applyProtection="1">
      <alignment horizontal="center"/>
      <protection hidden="1"/>
    </xf>
    <xf numFmtId="0" fontId="62" fillId="8" borderId="0" xfId="0" applyFont="1" applyFill="1" applyAlignment="1" applyProtection="1">
      <alignment horizontal="left"/>
      <protection hidden="1"/>
    </xf>
    <xf numFmtId="0" fontId="0" fillId="8" borderId="9" xfId="0" applyFill="1" applyBorder="1" applyProtection="1">
      <protection hidden="1"/>
    </xf>
    <xf numFmtId="0" fontId="71" fillId="7" borderId="0" xfId="0" applyFont="1" applyFill="1" applyAlignment="1" applyProtection="1">
      <alignment vertical="center"/>
      <protection hidden="1"/>
    </xf>
    <xf numFmtId="0" fontId="18" fillId="7" borderId="19" xfId="0" applyFont="1" applyFill="1" applyBorder="1" applyProtection="1">
      <protection hidden="1"/>
    </xf>
    <xf numFmtId="0" fontId="34" fillId="7" borderId="23" xfId="0" applyFont="1" applyFill="1" applyBorder="1" applyProtection="1">
      <protection hidden="1"/>
    </xf>
    <xf numFmtId="0" fontId="0" fillId="7" borderId="51" xfId="0" applyFill="1" applyBorder="1" applyProtection="1">
      <protection hidden="1"/>
    </xf>
    <xf numFmtId="0" fontId="8" fillId="0" borderId="89" xfId="0" applyFont="1" applyBorder="1" applyAlignment="1" applyProtection="1">
      <alignment horizontal="center" vertical="center" wrapText="1"/>
      <protection hidden="1"/>
    </xf>
    <xf numFmtId="0" fontId="8" fillId="0" borderId="56" xfId="0" applyFont="1" applyBorder="1" applyAlignment="1" applyProtection="1">
      <alignment horizontal="center" vertical="center" wrapText="1"/>
      <protection hidden="1"/>
    </xf>
    <xf numFmtId="0" fontId="6" fillId="0" borderId="89" xfId="0" applyFont="1" applyBorder="1" applyAlignment="1" applyProtection="1">
      <alignment horizontal="center" vertical="center" wrapText="1"/>
      <protection hidden="1"/>
    </xf>
    <xf numFmtId="0" fontId="10" fillId="3" borderId="33" xfId="0" applyFont="1" applyFill="1" applyBorder="1" applyAlignment="1" applyProtection="1">
      <alignment horizontal="center" vertical="center" wrapText="1"/>
      <protection hidden="1"/>
    </xf>
    <xf numFmtId="0" fontId="47" fillId="0" borderId="33" xfId="0" applyFont="1" applyBorder="1" applyAlignment="1" applyProtection="1">
      <alignment horizontal="center" vertical="center" wrapText="1"/>
      <protection hidden="1"/>
    </xf>
    <xf numFmtId="0" fontId="6" fillId="6" borderId="33" xfId="0" applyFont="1" applyFill="1" applyBorder="1" applyAlignment="1" applyProtection="1">
      <alignment horizontal="center" vertical="center" wrapText="1"/>
      <protection hidden="1"/>
    </xf>
    <xf numFmtId="0" fontId="7" fillId="0" borderId="33" xfId="0" applyFont="1" applyBorder="1" applyAlignment="1" applyProtection="1">
      <alignment horizontal="center" vertical="center" wrapText="1"/>
      <protection hidden="1"/>
    </xf>
    <xf numFmtId="0" fontId="7" fillId="0" borderId="90" xfId="0" applyFont="1" applyBorder="1" applyAlignment="1" applyProtection="1">
      <alignment horizontal="center" vertical="center" wrapText="1"/>
      <protection hidden="1"/>
    </xf>
    <xf numFmtId="0" fontId="6" fillId="0" borderId="91" xfId="0" applyFont="1" applyBorder="1" applyAlignment="1" applyProtection="1">
      <alignment horizontal="center" vertical="center" wrapText="1"/>
      <protection hidden="1"/>
    </xf>
    <xf numFmtId="0" fontId="6" fillId="0" borderId="92" xfId="0" applyFont="1" applyBorder="1" applyAlignment="1" applyProtection="1">
      <alignment horizontal="center" vertical="center" wrapText="1"/>
      <protection hidden="1"/>
    </xf>
    <xf numFmtId="0" fontId="6" fillId="0" borderId="93" xfId="0" applyFont="1" applyBorder="1" applyAlignment="1" applyProtection="1">
      <alignment horizontal="center" vertical="center" wrapText="1"/>
      <protection hidden="1"/>
    </xf>
    <xf numFmtId="0" fontId="10" fillId="3" borderId="80" xfId="0" applyFont="1" applyFill="1" applyBorder="1" applyAlignment="1" applyProtection="1">
      <alignment horizontal="center" vertical="center" wrapText="1"/>
      <protection hidden="1"/>
    </xf>
    <xf numFmtId="0" fontId="5" fillId="3" borderId="79" xfId="0" applyFont="1" applyFill="1" applyBorder="1" applyAlignment="1" applyProtection="1">
      <alignment horizontal="center" vertical="center" wrapText="1"/>
      <protection hidden="1"/>
    </xf>
    <xf numFmtId="0" fontId="6" fillId="6" borderId="80" xfId="0" applyFont="1" applyFill="1" applyBorder="1" applyAlignment="1" applyProtection="1">
      <alignment horizontal="center" vertical="center" wrapText="1"/>
      <protection hidden="1"/>
    </xf>
    <xf numFmtId="0" fontId="10" fillId="22" borderId="2" xfId="0" applyFont="1" applyFill="1" applyBorder="1" applyAlignment="1" applyProtection="1">
      <alignment vertical="center" wrapText="1"/>
      <protection hidden="1"/>
    </xf>
    <xf numFmtId="0" fontId="72" fillId="9" borderId="0" xfId="0" applyFont="1" applyFill="1" applyAlignment="1" applyProtection="1">
      <alignment horizontal="left"/>
      <protection hidden="1"/>
    </xf>
    <xf numFmtId="164" fontId="7" fillId="0" borderId="2" xfId="0" applyNumberFormat="1" applyFont="1" applyBorder="1" applyAlignment="1" applyProtection="1">
      <alignment horizontal="center" vertical="center" wrapText="1"/>
      <protection hidden="1"/>
    </xf>
    <xf numFmtId="164" fontId="7" fillId="0" borderId="3" xfId="0" applyNumberFormat="1" applyFont="1" applyBorder="1" applyAlignment="1" applyProtection="1">
      <alignment horizontal="center" vertical="center" wrapText="1"/>
      <protection hidden="1"/>
    </xf>
    <xf numFmtId="0" fontId="13" fillId="7" borderId="17" xfId="0" quotePrefix="1" applyFont="1" applyFill="1" applyBorder="1" applyProtection="1">
      <protection locked="0" hidden="1"/>
    </xf>
    <xf numFmtId="0" fontId="34" fillId="0" borderId="0" xfId="0" applyFont="1" applyProtection="1">
      <protection hidden="1"/>
    </xf>
    <xf numFmtId="0" fontId="0" fillId="13" borderId="72" xfId="0" applyFill="1" applyBorder="1"/>
    <xf numFmtId="0" fontId="0" fillId="13" borderId="94" xfId="0" applyFill="1" applyBorder="1"/>
    <xf numFmtId="0" fontId="0" fillId="13" borderId="95" xfId="0" applyFill="1" applyBorder="1"/>
    <xf numFmtId="0" fontId="0" fillId="13" borderId="96" xfId="0" applyFill="1" applyBorder="1"/>
    <xf numFmtId="0" fontId="0" fillId="13" borderId="97" xfId="0" applyFill="1" applyBorder="1"/>
    <xf numFmtId="0" fontId="0" fillId="13" borderId="98" xfId="0" applyFill="1" applyBorder="1"/>
    <xf numFmtId="0" fontId="0" fillId="13" borderId="99" xfId="0" applyFill="1" applyBorder="1"/>
    <xf numFmtId="0" fontId="0" fillId="13" borderId="100" xfId="0" applyFill="1" applyBorder="1"/>
    <xf numFmtId="0" fontId="77" fillId="23" borderId="15" xfId="0" applyFont="1" applyFill="1" applyBorder="1" applyAlignment="1" applyProtection="1">
      <alignment horizontal="center" vertical="center" wrapText="1"/>
      <protection hidden="1"/>
    </xf>
    <xf numFmtId="0" fontId="69" fillId="0" borderId="2" xfId="0" applyFont="1" applyBorder="1" applyAlignment="1" applyProtection="1">
      <alignment vertical="center" wrapText="1"/>
      <protection hidden="1"/>
    </xf>
    <xf numFmtId="0" fontId="69" fillId="10" borderId="2" xfId="0" applyFont="1" applyFill="1" applyBorder="1" applyAlignment="1" applyProtection="1">
      <alignment vertical="center" wrapText="1"/>
      <protection hidden="1"/>
    </xf>
    <xf numFmtId="0" fontId="69" fillId="0" borderId="33" xfId="0" applyFont="1" applyBorder="1" applyAlignment="1" applyProtection="1">
      <alignment horizontal="center" vertical="center" wrapText="1"/>
      <protection hidden="1"/>
    </xf>
    <xf numFmtId="0" fontId="67" fillId="24" borderId="15" xfId="0" applyFont="1" applyFill="1" applyBorder="1" applyAlignment="1" applyProtection="1">
      <alignment horizontal="center" vertical="center" wrapText="1"/>
      <protection hidden="1"/>
    </xf>
    <xf numFmtId="0" fontId="43" fillId="2" borderId="48" xfId="0" applyFont="1" applyFill="1" applyBorder="1" applyAlignment="1" applyProtection="1">
      <alignment horizontal="center" vertical="center" wrapText="1"/>
      <protection hidden="1"/>
    </xf>
    <xf numFmtId="0" fontId="75" fillId="14" borderId="46" xfId="0" applyFont="1" applyFill="1" applyBorder="1" applyAlignment="1" applyProtection="1">
      <alignment horizontal="center" vertical="center" wrapText="1"/>
      <protection hidden="1"/>
    </xf>
    <xf numFmtId="0" fontId="13" fillId="9" borderId="13" xfId="0" applyFont="1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31" fillId="0" borderId="0" xfId="0" applyFont="1" applyAlignment="1" applyProtection="1">
      <alignment horizontal="center" vertical="center" wrapText="1"/>
      <protection hidden="1"/>
    </xf>
    <xf numFmtId="0" fontId="6" fillId="2" borderId="15" xfId="0" applyFont="1" applyFill="1" applyBorder="1" applyAlignment="1" applyProtection="1">
      <alignment horizontal="center" vertical="center" wrapText="1"/>
      <protection hidden="1"/>
    </xf>
    <xf numFmtId="0" fontId="6" fillId="0" borderId="46" xfId="0" applyFont="1" applyBorder="1" applyAlignment="1" applyProtection="1">
      <alignment horizontal="center" vertical="center" wrapText="1"/>
      <protection hidden="1"/>
    </xf>
    <xf numFmtId="164" fontId="6" fillId="0" borderId="1" xfId="0" applyNumberFormat="1" applyFont="1" applyBorder="1" applyAlignment="1" applyProtection="1">
      <alignment horizontal="center" vertical="center" wrapText="1"/>
      <protection hidden="1"/>
    </xf>
    <xf numFmtId="164" fontId="6" fillId="0" borderId="2" xfId="0" applyNumberFormat="1" applyFont="1" applyBorder="1" applyAlignment="1" applyProtection="1">
      <alignment horizontal="center" vertical="center" wrapText="1"/>
      <protection hidden="1"/>
    </xf>
    <xf numFmtId="164" fontId="8" fillId="0" borderId="71" xfId="0" applyNumberFormat="1" applyFont="1" applyBorder="1" applyAlignment="1" applyProtection="1">
      <alignment horizontal="center" vertical="center" wrapText="1"/>
      <protection hidden="1"/>
    </xf>
    <xf numFmtId="164" fontId="8" fillId="0" borderId="1" xfId="0" applyNumberFormat="1" applyFont="1" applyBorder="1" applyAlignment="1" applyProtection="1">
      <alignment horizontal="center" vertical="center" wrapText="1"/>
      <protection hidden="1"/>
    </xf>
    <xf numFmtId="164" fontId="6" fillId="0" borderId="71" xfId="0" applyNumberFormat="1" applyFont="1" applyBorder="1" applyAlignment="1" applyProtection="1">
      <alignment horizontal="center" vertical="center" wrapText="1"/>
      <protection hidden="1"/>
    </xf>
    <xf numFmtId="164" fontId="69" fillId="0" borderId="2" xfId="0" applyNumberFormat="1" applyFont="1" applyBorder="1" applyAlignment="1" applyProtection="1">
      <alignment horizontal="center" vertical="center" wrapText="1"/>
      <protection hidden="1"/>
    </xf>
    <xf numFmtId="164" fontId="10" fillId="3" borderId="2" xfId="0" applyNumberFormat="1" applyFont="1" applyFill="1" applyBorder="1" applyAlignment="1" applyProtection="1">
      <alignment horizontal="center" vertical="center" wrapText="1"/>
      <protection hidden="1"/>
    </xf>
    <xf numFmtId="164" fontId="6" fillId="3" borderId="2" xfId="0" applyNumberFormat="1" applyFont="1" applyFill="1" applyBorder="1" applyAlignment="1" applyProtection="1">
      <alignment horizontal="center" vertical="center" wrapText="1"/>
      <protection hidden="1"/>
    </xf>
    <xf numFmtId="164" fontId="47" fillId="0" borderId="2" xfId="0" applyNumberFormat="1" applyFont="1" applyBorder="1" applyAlignment="1" applyProtection="1">
      <alignment horizontal="center" vertical="center" wrapText="1"/>
      <protection hidden="1"/>
    </xf>
    <xf numFmtId="164" fontId="5" fillId="3" borderId="2" xfId="0" applyNumberFormat="1" applyFont="1" applyFill="1" applyBorder="1" applyAlignment="1" applyProtection="1">
      <alignment horizontal="center" vertical="center" wrapText="1"/>
      <protection hidden="1"/>
    </xf>
    <xf numFmtId="164" fontId="6" fillId="6" borderId="2" xfId="0" applyNumberFormat="1" applyFont="1" applyFill="1" applyBorder="1" applyAlignment="1" applyProtection="1">
      <alignment horizontal="center" vertical="center" wrapText="1"/>
      <protection hidden="1"/>
    </xf>
    <xf numFmtId="0" fontId="24" fillId="6" borderId="53" xfId="0" applyFont="1" applyFill="1" applyBorder="1" applyAlignment="1" applyProtection="1">
      <alignment horizontal="center" vertical="center" wrapText="1"/>
      <protection hidden="1"/>
    </xf>
    <xf numFmtId="0" fontId="24" fillId="0" borderId="40" xfId="0" applyFont="1" applyBorder="1" applyAlignment="1" applyProtection="1">
      <alignment horizontal="center" vertical="center" wrapText="1"/>
      <protection hidden="1"/>
    </xf>
    <xf numFmtId="0" fontId="0" fillId="15" borderId="0" xfId="0" applyFill="1" applyProtection="1">
      <protection hidden="1"/>
    </xf>
    <xf numFmtId="0" fontId="31" fillId="25" borderId="0" xfId="0" applyFont="1" applyFill="1" applyAlignment="1" applyProtection="1">
      <alignment horizontal="center"/>
      <protection hidden="1"/>
    </xf>
    <xf numFmtId="0" fontId="0" fillId="25" borderId="0" xfId="0" applyFill="1" applyAlignment="1" applyProtection="1">
      <alignment horizontal="center"/>
      <protection hidden="1"/>
    </xf>
    <xf numFmtId="0" fontId="31" fillId="7" borderId="24" xfId="0" applyFont="1" applyFill="1" applyBorder="1" applyProtection="1">
      <protection hidden="1"/>
    </xf>
    <xf numFmtId="0" fontId="31" fillId="7" borderId="26" xfId="0" applyFont="1" applyFill="1" applyBorder="1" applyProtection="1">
      <protection hidden="1"/>
    </xf>
    <xf numFmtId="0" fontId="31" fillId="7" borderId="18" xfId="0" applyFont="1" applyFill="1" applyBorder="1" applyProtection="1">
      <protection hidden="1"/>
    </xf>
    <xf numFmtId="0" fontId="0" fillId="6" borderId="24" xfId="0" applyFill="1" applyBorder="1" applyProtection="1">
      <protection hidden="1"/>
    </xf>
    <xf numFmtId="0" fontId="24" fillId="0" borderId="0" xfId="0" applyFont="1" applyAlignment="1" applyProtection="1">
      <alignment horizontal="center" vertical="center" wrapText="1"/>
      <protection hidden="1"/>
    </xf>
    <xf numFmtId="0" fontId="10" fillId="7" borderId="0" xfId="0" applyFont="1" applyFill="1" applyAlignment="1" applyProtection="1">
      <alignment horizontal="center" vertical="center" wrapText="1"/>
      <protection hidden="1"/>
    </xf>
    <xf numFmtId="0" fontId="23" fillId="26" borderId="5" xfId="0" applyFont="1" applyFill="1" applyBorder="1" applyAlignment="1" applyProtection="1">
      <alignment vertical="center" wrapText="1"/>
      <protection hidden="1"/>
    </xf>
    <xf numFmtId="0" fontId="0" fillId="7" borderId="24" xfId="0" applyFill="1" applyBorder="1" applyProtection="1">
      <protection hidden="1"/>
    </xf>
    <xf numFmtId="0" fontId="21" fillId="0" borderId="0" xfId="0" applyFont="1" applyBorder="1" applyAlignment="1" applyProtection="1">
      <alignment horizontal="left"/>
      <protection hidden="1"/>
    </xf>
    <xf numFmtId="0" fontId="5" fillId="2" borderId="15" xfId="0" applyFont="1" applyFill="1" applyBorder="1" applyAlignment="1" applyProtection="1">
      <alignment horizontal="center" vertical="center" wrapText="1"/>
      <protection hidden="1"/>
    </xf>
    <xf numFmtId="0" fontId="31" fillId="7" borderId="0" xfId="0" applyFont="1" applyFill="1" applyAlignment="1" applyProtection="1">
      <alignment horizontal="center"/>
      <protection hidden="1"/>
    </xf>
    <xf numFmtId="0" fontId="26" fillId="13" borderId="24" xfId="0" applyFont="1" applyFill="1" applyBorder="1" applyAlignment="1" applyProtection="1">
      <alignment horizontal="center" vertical="center" textRotation="180"/>
      <protection hidden="1"/>
    </xf>
    <xf numFmtId="0" fontId="26" fillId="13" borderId="26" xfId="0" applyFont="1" applyFill="1" applyBorder="1" applyAlignment="1" applyProtection="1">
      <alignment horizontal="center" vertical="center" textRotation="180"/>
      <protection hidden="1"/>
    </xf>
    <xf numFmtId="0" fontId="0" fillId="0" borderId="0" xfId="0" applyAlignment="1" applyProtection="1">
      <alignment horizontal="center"/>
      <protection hidden="1"/>
    </xf>
    <xf numFmtId="0" fontId="35" fillId="18" borderId="64" xfId="0" applyFont="1" applyFill="1" applyBorder="1" applyAlignment="1" applyProtection="1">
      <alignment vertical="center"/>
      <protection hidden="1"/>
    </xf>
    <xf numFmtId="0" fontId="26" fillId="14" borderId="24" xfId="0" applyFont="1" applyFill="1" applyBorder="1" applyAlignment="1" applyProtection="1">
      <alignment horizontal="center" vertical="center" textRotation="180"/>
      <protection hidden="1"/>
    </xf>
    <xf numFmtId="164" fontId="0" fillId="18" borderId="0" xfId="0" applyNumberFormat="1" applyFill="1" applyBorder="1" applyAlignment="1" applyProtection="1">
      <alignment horizontal="left"/>
      <protection hidden="1"/>
    </xf>
    <xf numFmtId="0" fontId="0" fillId="18" borderId="0" xfId="0" applyFill="1" applyBorder="1" applyProtection="1">
      <protection hidden="1"/>
    </xf>
    <xf numFmtId="0" fontId="31" fillId="18" borderId="0" xfId="0" applyFont="1" applyFill="1" applyBorder="1" applyProtection="1">
      <protection hidden="1"/>
    </xf>
    <xf numFmtId="0" fontId="18" fillId="18" borderId="0" xfId="0" applyFont="1" applyFill="1" applyBorder="1" applyProtection="1">
      <protection hidden="1"/>
    </xf>
    <xf numFmtId="164" fontId="18" fillId="18" borderId="0" xfId="0" applyNumberFormat="1" applyFont="1" applyFill="1" applyBorder="1" applyAlignment="1" applyProtection="1">
      <alignment horizontal="left"/>
      <protection hidden="1"/>
    </xf>
    <xf numFmtId="0" fontId="0" fillId="18" borderId="63" xfId="0" applyFill="1" applyBorder="1" applyProtection="1">
      <protection hidden="1"/>
    </xf>
    <xf numFmtId="0" fontId="13" fillId="7" borderId="52" xfId="0" applyFont="1" applyFill="1" applyBorder="1" applyProtection="1">
      <protection hidden="1"/>
    </xf>
    <xf numFmtId="0" fontId="31" fillId="7" borderId="52" xfId="0" applyFont="1" applyFill="1" applyBorder="1" applyProtection="1">
      <protection hidden="1"/>
    </xf>
    <xf numFmtId="0" fontId="31" fillId="7" borderId="52" xfId="0" applyFont="1" applyFill="1" applyBorder="1" applyAlignment="1" applyProtection="1">
      <alignment horizontal="right"/>
      <protection hidden="1"/>
    </xf>
    <xf numFmtId="164" fontId="31" fillId="7" borderId="52" xfId="0" applyNumberFormat="1" applyFont="1" applyFill="1" applyBorder="1" applyProtection="1">
      <protection hidden="1"/>
    </xf>
    <xf numFmtId="0" fontId="0" fillId="0" borderId="52" xfId="0" applyBorder="1" applyProtection="1">
      <protection hidden="1"/>
    </xf>
    <xf numFmtId="0" fontId="0" fillId="7" borderId="101" xfId="0" applyFill="1" applyBorder="1" applyProtection="1">
      <protection hidden="1"/>
    </xf>
    <xf numFmtId="0" fontId="0" fillId="7" borderId="102" xfId="0" applyFill="1" applyBorder="1" applyProtection="1">
      <protection hidden="1"/>
    </xf>
    <xf numFmtId="0" fontId="0" fillId="7" borderId="103" xfId="0" applyFill="1" applyBorder="1" applyProtection="1">
      <protection hidden="1"/>
    </xf>
    <xf numFmtId="0" fontId="0" fillId="7" borderId="104" xfId="0" applyFill="1" applyBorder="1" applyProtection="1">
      <protection hidden="1"/>
    </xf>
    <xf numFmtId="0" fontId="0" fillId="7" borderId="105" xfId="0" applyFill="1" applyBorder="1" applyProtection="1">
      <protection hidden="1"/>
    </xf>
    <xf numFmtId="0" fontId="0" fillId="7" borderId="106" xfId="0" applyFill="1" applyBorder="1" applyProtection="1">
      <protection hidden="1"/>
    </xf>
    <xf numFmtId="0" fontId="81" fillId="11" borderId="11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/>
    <xf numFmtId="0" fontId="13" fillId="0" borderId="0" xfId="0" applyFont="1" applyProtection="1"/>
    <xf numFmtId="0" fontId="31" fillId="0" borderId="26" xfId="0" applyFont="1" applyBorder="1" applyAlignment="1" applyProtection="1">
      <alignment horizontal="center"/>
    </xf>
    <xf numFmtId="0" fontId="0" fillId="8" borderId="0" xfId="0" applyFill="1" applyProtection="1"/>
    <xf numFmtId="2" fontId="45" fillId="0" borderId="0" xfId="0" applyNumberFormat="1" applyFont="1" applyAlignment="1" applyProtection="1">
      <alignment horizontal="center"/>
    </xf>
    <xf numFmtId="0" fontId="45" fillId="0" borderId="0" xfId="0" applyFont="1" applyProtection="1"/>
    <xf numFmtId="0" fontId="6" fillId="8" borderId="0" xfId="0" applyFont="1" applyFill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6" borderId="0" xfId="0" applyFont="1" applyFill="1" applyAlignment="1" applyProtection="1">
      <alignment horizontal="center" vertical="center" wrapText="1"/>
    </xf>
    <xf numFmtId="0" fontId="6" fillId="0" borderId="40" xfId="0" applyFont="1" applyBorder="1" applyAlignment="1" applyProtection="1">
      <alignment horizontal="center" vertical="center" wrapText="1"/>
    </xf>
    <xf numFmtId="0" fontId="31" fillId="7" borderId="0" xfId="0" applyFont="1" applyFill="1" applyProtection="1"/>
    <xf numFmtId="0" fontId="31" fillId="7" borderId="11" xfId="0" applyFont="1" applyFill="1" applyBorder="1" applyProtection="1"/>
    <xf numFmtId="0" fontId="0" fillId="0" borderId="68" xfId="0" applyBorder="1" applyAlignment="1" applyProtection="1">
      <alignment horizontal="center"/>
    </xf>
    <xf numFmtId="0" fontId="18" fillId="6" borderId="48" xfId="0" applyFont="1" applyFill="1" applyBorder="1" applyAlignment="1" applyProtection="1">
      <alignment horizontal="center"/>
    </xf>
    <xf numFmtId="164" fontId="0" fillId="0" borderId="69" xfId="0" applyNumberFormat="1" applyBorder="1" applyAlignment="1" applyProtection="1">
      <alignment horizontal="center"/>
    </xf>
    <xf numFmtId="164" fontId="0" fillId="0" borderId="70" xfId="0" applyNumberFormat="1" applyBorder="1" applyAlignment="1" applyProtection="1">
      <alignment horizontal="center"/>
    </xf>
    <xf numFmtId="164" fontId="50" fillId="0" borderId="69" xfId="0" applyNumberFormat="1" applyFont="1" applyBorder="1" applyAlignment="1" applyProtection="1">
      <alignment horizontal="center"/>
    </xf>
    <xf numFmtId="1" fontId="13" fillId="0" borderId="0" xfId="0" applyNumberFormat="1" applyFont="1" applyProtection="1"/>
    <xf numFmtId="164" fontId="0" fillId="0" borderId="20" xfId="0" applyNumberFormat="1" applyBorder="1" applyProtection="1"/>
    <xf numFmtId="164" fontId="13" fillId="0" borderId="0" xfId="0" applyNumberFormat="1" applyFont="1" applyProtection="1"/>
    <xf numFmtId="0" fontId="0" fillId="0" borderId="0" xfId="0" applyAlignment="1" applyProtection="1">
      <alignment vertical="center"/>
    </xf>
    <xf numFmtId="164" fontId="0" fillId="0" borderId="48" xfId="0" applyNumberFormat="1" applyBorder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18" fillId="0" borderId="19" xfId="0" applyFont="1" applyBorder="1" applyProtection="1"/>
    <xf numFmtId="0" fontId="0" fillId="0" borderId="14" xfId="0" applyBorder="1" applyProtection="1"/>
    <xf numFmtId="0" fontId="0" fillId="7" borderId="0" xfId="0" applyFill="1" applyProtection="1"/>
    <xf numFmtId="0" fontId="0" fillId="7" borderId="21" xfId="0" applyFill="1" applyBorder="1" applyProtection="1"/>
    <xf numFmtId="0" fontId="0" fillId="7" borderId="20" xfId="0" applyFill="1" applyBorder="1" applyProtection="1"/>
    <xf numFmtId="0" fontId="34" fillId="7" borderId="14" xfId="0" applyFont="1" applyFill="1" applyBorder="1" applyAlignment="1" applyProtection="1">
      <alignment horizontal="right"/>
    </xf>
    <xf numFmtId="0" fontId="34" fillId="7" borderId="23" xfId="0" applyFont="1" applyFill="1" applyBorder="1" applyProtection="1"/>
    <xf numFmtId="0" fontId="0" fillId="7" borderId="23" xfId="0" applyFill="1" applyBorder="1" applyProtection="1"/>
    <xf numFmtId="0" fontId="0" fillId="7" borderId="18" xfId="0" applyFill="1" applyBorder="1" applyProtection="1"/>
    <xf numFmtId="0" fontId="0" fillId="18" borderId="65" xfId="0" applyFill="1" applyBorder="1" applyAlignment="1" applyProtection="1">
      <alignment vertical="center"/>
    </xf>
    <xf numFmtId="0" fontId="18" fillId="18" borderId="60" xfId="0" applyFont="1" applyFill="1" applyBorder="1" applyAlignment="1" applyProtection="1">
      <alignment horizontal="left" vertical="center"/>
      <protection hidden="1"/>
    </xf>
    <xf numFmtId="0" fontId="18" fillId="18" borderId="65" xfId="0" applyFont="1" applyFill="1" applyBorder="1" applyAlignment="1" applyProtection="1">
      <alignment horizontal="left" vertical="center"/>
      <protection hidden="1"/>
    </xf>
    <xf numFmtId="0" fontId="0" fillId="0" borderId="16" xfId="0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0" borderId="0" xfId="0" quotePrefix="1" applyFont="1" applyAlignment="1" applyProtection="1">
      <alignment horizontal="center" vertical="center" wrapText="1"/>
    </xf>
    <xf numFmtId="0" fontId="6" fillId="0" borderId="67" xfId="0" applyFont="1" applyBorder="1" applyAlignment="1" applyProtection="1">
      <alignment horizontal="center" vertical="center" wrapText="1"/>
    </xf>
    <xf numFmtId="1" fontId="0" fillId="0" borderId="0" xfId="0" applyNumberFormat="1" applyProtection="1"/>
    <xf numFmtId="0" fontId="0" fillId="0" borderId="0" xfId="0" applyProtection="1">
      <protection locked="0" hidden="1"/>
    </xf>
    <xf numFmtId="0" fontId="12" fillId="6" borderId="5" xfId="0" applyFont="1" applyFill="1" applyBorder="1" applyAlignment="1" applyProtection="1">
      <alignment horizontal="left" vertical="center" wrapText="1"/>
      <protection locked="0" hidden="1"/>
    </xf>
    <xf numFmtId="0" fontId="35" fillId="0" borderId="0" xfId="0" applyFont="1" applyAlignment="1" applyProtection="1">
      <alignment horizontal="left"/>
      <protection locked="0" hidden="1"/>
    </xf>
    <xf numFmtId="0" fontId="0" fillId="7" borderId="0" xfId="0" applyFill="1" applyProtection="1">
      <protection locked="0" hidden="1"/>
    </xf>
    <xf numFmtId="0" fontId="13" fillId="0" borderId="0" xfId="0" applyFont="1" applyProtection="1">
      <protection locked="0" hidden="1"/>
    </xf>
    <xf numFmtId="164" fontId="13" fillId="0" borderId="0" xfId="0" applyNumberFormat="1" applyFont="1" applyProtection="1">
      <protection locked="0" hidden="1"/>
    </xf>
    <xf numFmtId="0" fontId="41" fillId="0" borderId="24" xfId="0" applyFont="1" applyBorder="1" applyAlignment="1">
      <alignment horizontal="center" vertical="center" textRotation="90" wrapText="1"/>
    </xf>
    <xf numFmtId="0" fontId="41" fillId="0" borderId="25" xfId="0" applyFont="1" applyBorder="1" applyAlignment="1">
      <alignment horizontal="center" vertical="center" textRotation="90"/>
    </xf>
    <xf numFmtId="0" fontId="41" fillId="0" borderId="26" xfId="0" applyFont="1" applyBorder="1" applyAlignment="1">
      <alignment horizontal="center" vertical="center" textRotation="90"/>
    </xf>
    <xf numFmtId="0" fontId="40" fillId="0" borderId="24" xfId="0" applyFont="1" applyBorder="1" applyAlignment="1">
      <alignment horizontal="center" vertical="center" textRotation="90" wrapText="1"/>
    </xf>
    <xf numFmtId="0" fontId="40" fillId="0" borderId="25" xfId="0" applyFont="1" applyBorder="1" applyAlignment="1">
      <alignment horizontal="center" vertical="center" textRotation="90"/>
    </xf>
    <xf numFmtId="0" fontId="40" fillId="0" borderId="26" xfId="0" applyFont="1" applyBorder="1" applyAlignment="1">
      <alignment horizontal="center" vertical="center" textRotation="90"/>
    </xf>
    <xf numFmtId="0" fontId="40" fillId="0" borderId="25" xfId="0" applyFont="1" applyBorder="1" applyAlignment="1">
      <alignment horizontal="center" vertical="center" textRotation="90" wrapText="1"/>
    </xf>
    <xf numFmtId="0" fontId="48" fillId="0" borderId="24" xfId="0" applyFont="1" applyBorder="1" applyAlignment="1">
      <alignment horizontal="center" vertical="center" textRotation="90" wrapText="1"/>
    </xf>
    <xf numFmtId="0" fontId="0" fillId="10" borderId="11" xfId="0" applyFill="1" applyBorder="1" applyAlignment="1" applyProtection="1">
      <alignment horizontal="center" vertical="center" wrapText="1"/>
      <protection hidden="1"/>
    </xf>
    <xf numFmtId="0" fontId="0" fillId="10" borderId="13" xfId="0" applyFill="1" applyBorder="1" applyAlignment="1" applyProtection="1">
      <alignment horizontal="center" vertical="center" wrapText="1"/>
      <protection hidden="1"/>
    </xf>
    <xf numFmtId="0" fontId="0" fillId="10" borderId="12" xfId="0" applyFill="1" applyBorder="1" applyAlignment="1" applyProtection="1">
      <alignment horizontal="center" vertical="center" wrapText="1"/>
      <protection hidden="1"/>
    </xf>
    <xf numFmtId="0" fontId="31" fillId="6" borderId="11" xfId="0" applyFont="1" applyFill="1" applyBorder="1" applyAlignment="1" applyProtection="1">
      <alignment horizontal="center" vertical="center" wrapText="1"/>
      <protection hidden="1"/>
    </xf>
    <xf numFmtId="0" fontId="31" fillId="6" borderId="13" xfId="0" applyFont="1" applyFill="1" applyBorder="1" applyAlignment="1" applyProtection="1">
      <alignment horizontal="center" vertical="center" wrapText="1"/>
      <protection hidden="1"/>
    </xf>
    <xf numFmtId="0" fontId="31" fillId="6" borderId="12" xfId="0" applyFont="1" applyFill="1" applyBorder="1" applyAlignment="1" applyProtection="1">
      <alignment horizontal="center" vertical="center" wrapText="1"/>
      <protection hidden="1"/>
    </xf>
    <xf numFmtId="0" fontId="0" fillId="5" borderId="11" xfId="0" applyFill="1" applyBorder="1" applyAlignment="1" applyProtection="1">
      <alignment horizontal="center" vertical="center" wrapText="1"/>
    </xf>
    <xf numFmtId="0" fontId="0" fillId="5" borderId="13" xfId="0" applyFill="1" applyBorder="1" applyAlignment="1" applyProtection="1">
      <alignment horizontal="center" vertical="center" wrapText="1"/>
    </xf>
    <xf numFmtId="0" fontId="0" fillId="5" borderId="12" xfId="0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 vertical="center" wrapText="1"/>
      <protection hidden="1"/>
    </xf>
    <xf numFmtId="0" fontId="18" fillId="12" borderId="11" xfId="0" applyFont="1" applyFill="1" applyBorder="1" applyAlignment="1" applyProtection="1">
      <alignment horizontal="center" vertical="center" wrapText="1"/>
      <protection hidden="1"/>
    </xf>
    <xf numFmtId="0" fontId="18" fillId="12" borderId="13" xfId="0" applyFont="1" applyFill="1" applyBorder="1" applyAlignment="1" applyProtection="1">
      <alignment horizontal="center" vertical="center"/>
      <protection hidden="1"/>
    </xf>
    <xf numFmtId="0" fontId="18" fillId="12" borderId="12" xfId="0" applyFont="1" applyFill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17" fillId="9" borderId="0" xfId="0" applyFont="1" applyFill="1" applyAlignment="1" applyProtection="1">
      <alignment horizontal="center" vertical="center"/>
      <protection hidden="1"/>
    </xf>
    <xf numFmtId="0" fontId="5" fillId="2" borderId="15" xfId="0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center" vertical="center" wrapText="1"/>
      <protection hidden="1"/>
    </xf>
    <xf numFmtId="0" fontId="15" fillId="0" borderId="9" xfId="0" applyFont="1" applyBorder="1" applyAlignment="1" applyProtection="1">
      <alignment horizontal="center"/>
      <protection hidden="1"/>
    </xf>
    <xf numFmtId="0" fontId="5" fillId="21" borderId="50" xfId="0" applyFont="1" applyFill="1" applyBorder="1" applyAlignment="1" applyProtection="1">
      <alignment horizontal="center" vertical="center" wrapText="1"/>
      <protection hidden="1"/>
    </xf>
    <xf numFmtId="0" fontId="0" fillId="21" borderId="52" xfId="0" applyFill="1" applyBorder="1" applyProtection="1">
      <protection hidden="1"/>
    </xf>
    <xf numFmtId="0" fontId="0" fillId="21" borderId="51" xfId="0" applyFill="1" applyBorder="1" applyProtection="1">
      <protection hidden="1"/>
    </xf>
    <xf numFmtId="0" fontId="0" fillId="18" borderId="86" xfId="0" applyFill="1" applyBorder="1" applyAlignment="1" applyProtection="1">
      <alignment horizontal="center"/>
      <protection locked="0" hidden="1"/>
    </xf>
    <xf numFmtId="0" fontId="0" fillId="18" borderId="87" xfId="0" applyFill="1" applyBorder="1" applyAlignment="1" applyProtection="1">
      <alignment horizontal="center"/>
      <protection locked="0" hidden="1"/>
    </xf>
    <xf numFmtId="0" fontId="0" fillId="18" borderId="88" xfId="0" applyFill="1" applyBorder="1" applyAlignment="1" applyProtection="1">
      <alignment horizontal="center"/>
      <protection locked="0" hidden="1"/>
    </xf>
    <xf numFmtId="0" fontId="13" fillId="9" borderId="11" xfId="0" applyFont="1" applyFill="1" applyBorder="1" applyAlignment="1" applyProtection="1">
      <alignment horizontal="center" vertical="center" wrapText="1"/>
      <protection hidden="1"/>
    </xf>
    <xf numFmtId="0" fontId="13" fillId="9" borderId="13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center" wrapText="1"/>
    </xf>
    <xf numFmtId="0" fontId="0" fillId="0" borderId="23" xfId="0" applyBorder="1" applyAlignment="1" applyProtection="1">
      <alignment horizontal="center"/>
      <protection hidden="1"/>
    </xf>
    <xf numFmtId="0" fontId="18" fillId="0" borderId="19" xfId="0" applyFont="1" applyBorder="1" applyAlignment="1" applyProtection="1">
      <alignment horizontal="center"/>
      <protection hidden="1"/>
    </xf>
    <xf numFmtId="0" fontId="18" fillId="0" borderId="21" xfId="0" applyFont="1" applyBorder="1" applyAlignment="1" applyProtection="1">
      <alignment horizontal="center"/>
      <protection hidden="1"/>
    </xf>
    <xf numFmtId="0" fontId="18" fillId="0" borderId="20" xfId="0" applyFont="1" applyBorder="1" applyAlignment="1" applyProtection="1">
      <alignment horizontal="center"/>
      <protection hidden="1"/>
    </xf>
    <xf numFmtId="0" fontId="70" fillId="12" borderId="11" xfId="0" applyFont="1" applyFill="1" applyBorder="1" applyAlignment="1" applyProtection="1">
      <alignment horizontal="center" vertical="center" wrapText="1"/>
      <protection hidden="1"/>
    </xf>
    <xf numFmtId="0" fontId="2" fillId="12" borderId="13" xfId="0" applyFont="1" applyFill="1" applyBorder="1" applyAlignment="1" applyProtection="1">
      <alignment horizontal="center" vertical="center"/>
    </xf>
    <xf numFmtId="0" fontId="2" fillId="12" borderId="12" xfId="0" applyFont="1" applyFill="1" applyBorder="1" applyAlignment="1" applyProtection="1">
      <alignment horizontal="center" vertical="center"/>
    </xf>
    <xf numFmtId="0" fontId="4" fillId="10" borderId="19" xfId="0" applyFont="1" applyFill="1" applyBorder="1" applyAlignment="1" applyProtection="1">
      <alignment vertical="center" wrapText="1"/>
      <protection hidden="1"/>
    </xf>
    <xf numFmtId="0" fontId="4" fillId="0" borderId="20" xfId="0" applyFont="1" applyBorder="1" applyAlignment="1" applyProtection="1">
      <alignment vertical="center" wrapText="1"/>
    </xf>
    <xf numFmtId="0" fontId="0" fillId="18" borderId="86" xfId="0" applyFill="1" applyBorder="1" applyAlignment="1" applyProtection="1">
      <alignment horizontal="center"/>
      <protection hidden="1"/>
    </xf>
    <xf numFmtId="0" fontId="0" fillId="18" borderId="87" xfId="0" applyFill="1" applyBorder="1" applyAlignment="1" applyProtection="1">
      <alignment horizontal="center"/>
      <protection hidden="1"/>
    </xf>
    <xf numFmtId="0" fontId="5" fillId="2" borderId="16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</xf>
    <xf numFmtId="0" fontId="18" fillId="7" borderId="13" xfId="0" applyFont="1" applyFill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</xf>
    <xf numFmtId="0" fontId="0" fillId="18" borderId="86" xfId="0" applyFill="1" applyBorder="1" applyAlignment="1" applyProtection="1">
      <alignment horizontal="center" vertical="center"/>
      <protection hidden="1"/>
    </xf>
    <xf numFmtId="0" fontId="0" fillId="18" borderId="87" xfId="0" applyFill="1" applyBorder="1" applyAlignment="1" applyProtection="1">
      <alignment horizontal="center" vertical="center"/>
      <protection hidden="1"/>
    </xf>
    <xf numFmtId="0" fontId="5" fillId="7" borderId="50" xfId="0" applyFont="1" applyFill="1" applyBorder="1" applyAlignment="1" applyProtection="1">
      <alignment horizontal="center" vertical="center" wrapText="1"/>
      <protection hidden="1"/>
    </xf>
    <xf numFmtId="0" fontId="5" fillId="7" borderId="52" xfId="0" applyFont="1" applyFill="1" applyBorder="1" applyAlignment="1" applyProtection="1">
      <alignment horizontal="center" vertical="center" wrapText="1"/>
      <protection hidden="1"/>
    </xf>
    <xf numFmtId="0" fontId="5" fillId="7" borderId="51" xfId="0" applyFont="1" applyFill="1" applyBorder="1" applyAlignment="1" applyProtection="1">
      <alignment horizontal="center" vertical="center" wrapText="1"/>
      <protection hidden="1"/>
    </xf>
    <xf numFmtId="0" fontId="26" fillId="13" borderId="24" xfId="0" applyFont="1" applyFill="1" applyBorder="1" applyAlignment="1" applyProtection="1">
      <alignment horizontal="center" vertical="center" textRotation="180"/>
      <protection hidden="1"/>
    </xf>
    <xf numFmtId="0" fontId="0" fillId="0" borderId="25" xfId="0" applyBorder="1" applyAlignment="1" applyProtection="1">
      <alignment horizontal="center" vertical="center" textRotation="180"/>
    </xf>
    <xf numFmtId="0" fontId="0" fillId="0" borderId="26" xfId="0" applyBorder="1" applyAlignment="1" applyProtection="1">
      <alignment horizontal="center" vertical="center" textRotation="180"/>
    </xf>
    <xf numFmtId="0" fontId="26" fillId="14" borderId="24" xfId="0" applyFont="1" applyFill="1" applyBorder="1" applyAlignment="1" applyProtection="1">
      <alignment horizontal="center" vertical="center" textRotation="180"/>
      <protection hidden="1"/>
    </xf>
    <xf numFmtId="0" fontId="26" fillId="13" borderId="25" xfId="0" applyFont="1" applyFill="1" applyBorder="1" applyAlignment="1" applyProtection="1">
      <alignment horizontal="center" vertical="center" textRotation="180"/>
      <protection hidden="1"/>
    </xf>
    <xf numFmtId="0" fontId="26" fillId="14" borderId="25" xfId="0" applyFont="1" applyFill="1" applyBorder="1" applyAlignment="1" applyProtection="1">
      <alignment horizontal="center" vertical="center" textRotation="180"/>
      <protection hidden="1"/>
    </xf>
    <xf numFmtId="0" fontId="0" fillId="14" borderId="25" xfId="0" applyFill="1" applyBorder="1" applyAlignment="1" applyProtection="1">
      <alignment textRotation="180"/>
    </xf>
    <xf numFmtId="0" fontId="0" fillId="14" borderId="26" xfId="0" applyFill="1" applyBorder="1" applyAlignment="1" applyProtection="1">
      <alignment textRotation="180"/>
    </xf>
    <xf numFmtId="0" fontId="48" fillId="13" borderId="24" xfId="0" applyFont="1" applyFill="1" applyBorder="1" applyAlignment="1" applyProtection="1">
      <alignment horizontal="center" vertical="center" textRotation="180"/>
      <protection hidden="1"/>
    </xf>
    <xf numFmtId="0" fontId="48" fillId="0" borderId="25" xfId="0" applyFont="1" applyBorder="1" applyAlignment="1" applyProtection="1">
      <alignment horizontal="center" vertical="center" textRotation="180"/>
    </xf>
    <xf numFmtId="0" fontId="48" fillId="0" borderId="26" xfId="0" applyFont="1" applyBorder="1" applyAlignment="1" applyProtection="1">
      <alignment horizontal="center" vertical="center" textRotation="180"/>
    </xf>
    <xf numFmtId="0" fontId="14" fillId="2" borderId="23" xfId="0" applyFont="1" applyFill="1" applyBorder="1" applyAlignment="1" applyProtection="1">
      <alignment horizontal="center" vertical="center" wrapText="1"/>
      <protection hidden="1"/>
    </xf>
    <xf numFmtId="0" fontId="0" fillId="0" borderId="23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8" fillId="6" borderId="0" xfId="0" applyFont="1" applyFill="1" applyAlignment="1" applyProtection="1">
      <alignment horizontal="center"/>
      <protection hidden="1"/>
    </xf>
    <xf numFmtId="0" fontId="18" fillId="0" borderId="0" xfId="0" applyFont="1" applyProtection="1"/>
    <xf numFmtId="0" fontId="0" fillId="7" borderId="13" xfId="0" applyFill="1" applyBorder="1" applyAlignment="1" applyProtection="1">
      <alignment horizontal="center"/>
      <protection hidden="1"/>
    </xf>
    <xf numFmtId="0" fontId="0" fillId="7" borderId="13" xfId="0" applyFill="1" applyBorder="1" applyProtection="1"/>
    <xf numFmtId="0" fontId="0" fillId="7" borderId="12" xfId="0" applyFill="1" applyBorder="1" applyProtection="1"/>
    <xf numFmtId="164" fontId="31" fillId="0" borderId="72" xfId="0" applyNumberFormat="1" applyFont="1" applyBorder="1" applyAlignment="1" applyProtection="1">
      <alignment horizontal="center" vertical="center"/>
    </xf>
    <xf numFmtId="0" fontId="31" fillId="0" borderId="96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hidden="1"/>
    </xf>
    <xf numFmtId="0" fontId="13" fillId="11" borderId="0" xfId="0" applyFont="1" applyFill="1" applyAlignment="1" applyProtection="1">
      <alignment horizontal="center"/>
      <protection hidden="1"/>
    </xf>
    <xf numFmtId="0" fontId="18" fillId="0" borderId="14" xfId="0" applyFont="1" applyBorder="1" applyAlignment="1" applyProtection="1">
      <alignment horizontal="center"/>
      <protection hidden="1"/>
    </xf>
    <xf numFmtId="0" fontId="18" fillId="0" borderId="23" xfId="0" applyFont="1" applyBorder="1" applyAlignment="1" applyProtection="1">
      <alignment horizontal="center"/>
      <protection hidden="1"/>
    </xf>
    <xf numFmtId="0" fontId="18" fillId="0" borderId="18" xfId="0" applyFont="1" applyBorder="1" applyAlignment="1" applyProtection="1">
      <alignment horizontal="center"/>
      <protection hidden="1"/>
    </xf>
    <xf numFmtId="0" fontId="0" fillId="0" borderId="52" xfId="0" applyBorder="1" applyAlignment="1" applyProtection="1">
      <alignment horizontal="center"/>
      <protection hidden="1"/>
    </xf>
    <xf numFmtId="0" fontId="13" fillId="11" borderId="11" xfId="0" applyFont="1" applyFill="1" applyBorder="1" applyAlignment="1" applyProtection="1">
      <alignment horizontal="left" shrinkToFit="1"/>
      <protection hidden="1"/>
    </xf>
    <xf numFmtId="0" fontId="13" fillId="11" borderId="12" xfId="0" applyFont="1" applyFill="1" applyBorder="1" applyAlignment="1" applyProtection="1">
      <alignment horizontal="left" shrinkToFit="1"/>
      <protection hidden="1"/>
    </xf>
    <xf numFmtId="0" fontId="73" fillId="14" borderId="24" xfId="0" applyFont="1" applyFill="1" applyBorder="1" applyAlignment="1" applyProtection="1">
      <alignment horizontal="center" vertical="center" textRotation="180"/>
      <protection hidden="1"/>
    </xf>
    <xf numFmtId="0" fontId="74" fillId="14" borderId="25" xfId="0" applyFont="1" applyFill="1" applyBorder="1" applyAlignment="1" applyProtection="1">
      <alignment textRotation="180"/>
    </xf>
    <xf numFmtId="0" fontId="74" fillId="14" borderId="26" xfId="0" applyFont="1" applyFill="1" applyBorder="1" applyAlignment="1" applyProtection="1">
      <alignment textRotation="180"/>
    </xf>
    <xf numFmtId="0" fontId="31" fillId="7" borderId="0" xfId="0" applyFont="1" applyFill="1" applyAlignment="1" applyProtection="1">
      <alignment horizontal="center"/>
      <protection hidden="1"/>
    </xf>
    <xf numFmtId="0" fontId="78" fillId="23" borderId="24" xfId="0" applyFont="1" applyFill="1" applyBorder="1" applyAlignment="1" applyProtection="1">
      <alignment horizontal="center" vertical="center" textRotation="180"/>
      <protection hidden="1"/>
    </xf>
    <xf numFmtId="0" fontId="78" fillId="23" borderId="25" xfId="0" applyFont="1" applyFill="1" applyBorder="1" applyAlignment="1" applyProtection="1">
      <alignment horizontal="center" vertical="center" textRotation="180"/>
      <protection hidden="1"/>
    </xf>
    <xf numFmtId="0" fontId="78" fillId="23" borderId="26" xfId="0" applyFont="1" applyFill="1" applyBorder="1" applyAlignment="1" applyProtection="1">
      <alignment horizontal="center" vertical="center" textRotation="180"/>
      <protection hidden="1"/>
    </xf>
    <xf numFmtId="0" fontId="26" fillId="13" borderId="26" xfId="0" applyFont="1" applyFill="1" applyBorder="1" applyAlignment="1" applyProtection="1">
      <alignment horizontal="center" vertical="center" textRotation="180"/>
      <protection hidden="1"/>
    </xf>
    <xf numFmtId="0" fontId="76" fillId="14" borderId="24" xfId="0" applyFont="1" applyFill="1" applyBorder="1" applyAlignment="1" applyProtection="1">
      <alignment horizontal="center" vertical="center" textRotation="180"/>
      <protection hidden="1"/>
    </xf>
    <xf numFmtId="0" fontId="76" fillId="14" borderId="25" xfId="0" applyFont="1" applyFill="1" applyBorder="1" applyAlignment="1" applyProtection="1">
      <alignment horizontal="center" vertical="center" textRotation="180"/>
      <protection hidden="1"/>
    </xf>
    <xf numFmtId="0" fontId="76" fillId="14" borderId="84" xfId="0" applyFont="1" applyFill="1" applyBorder="1" applyAlignment="1" applyProtection="1">
      <alignment horizontal="center" vertical="center" textRotation="180"/>
      <protection hidden="1"/>
    </xf>
    <xf numFmtId="0" fontId="0" fillId="14" borderId="25" xfId="0" applyFill="1" applyBorder="1" applyAlignment="1" applyProtection="1">
      <alignment horizontal="center" vertical="center" textRotation="180"/>
    </xf>
    <xf numFmtId="0" fontId="0" fillId="14" borderId="26" xfId="0" applyFill="1" applyBorder="1" applyAlignment="1" applyProtection="1">
      <alignment horizontal="center" vertical="center" textRotation="180"/>
    </xf>
    <xf numFmtId="0" fontId="0" fillId="10" borderId="0" xfId="0" applyFill="1" applyAlignment="1" applyProtection="1">
      <alignment horizontal="center"/>
      <protection locked="0"/>
    </xf>
    <xf numFmtId="0" fontId="0" fillId="0" borderId="16" xfId="0" applyBorder="1" applyAlignment="1" applyProtection="1">
      <alignment horizontal="left" vertical="center"/>
      <protection locked="0"/>
    </xf>
  </cellXfs>
  <cellStyles count="2">
    <cellStyle name="Hipervínculo" xfId="1" builtinId="8"/>
    <cellStyle name="Normal" xfId="0" builtinId="0"/>
  </cellStyles>
  <dxfs count="89">
    <dxf>
      <protection locked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dotted">
          <color auto="1"/>
        </left>
        <right style="medium">
          <color rgb="FF000000"/>
        </right>
        <top style="dotted">
          <color auto="1"/>
        </top>
        <bottom style="dotted">
          <color auto="1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dotted">
          <color auto="1"/>
        </left>
        <right/>
        <top style="dotted">
          <color auto="1"/>
        </top>
        <bottom style="dotted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2" tint="-0.499984740745262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4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dotted">
          <color auto="1"/>
        </left>
        <right style="dotted">
          <color auto="1"/>
        </right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rgb="FF000000"/>
        </left>
        <right/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rgb="FF000000"/>
        </right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hair">
          <color auto="1"/>
        </top>
        <bottom style="hair">
          <color auto="1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dotted">
          <color auto="1"/>
        </left>
        <right style="medium">
          <color rgb="FF000000"/>
        </right>
        <top style="dotted">
          <color auto="1"/>
        </top>
        <bottom style="dotted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Arial"/>
        <family val="2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  <protection locked="1" hidden="1"/>
    </dxf>
    <dxf>
      <border outline="0"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protection locked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protection locked="1" hidden="1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/>
    </dxf>
    <dxf>
      <font>
        <b/>
        <i val="0"/>
        <color rgb="FFFF0000"/>
      </font>
    </dxf>
    <dxf>
      <font>
        <b/>
        <i/>
        <color rgb="FF00B050"/>
      </font>
    </dxf>
    <dxf>
      <font>
        <b val="0"/>
        <i val="0"/>
        <color rgb="FF9C0006"/>
      </font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 val="0"/>
        <i val="0"/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theme="0"/>
      </font>
      <fill>
        <patternFill>
          <bgColor theme="0"/>
        </patternFill>
      </fill>
    </dxf>
    <dxf>
      <font>
        <color theme="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/>
        <color rgb="FF00B050"/>
      </font>
    </dxf>
    <dxf>
      <font>
        <b/>
        <i/>
        <color rgb="FF00B050"/>
      </font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protection locked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protection locked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dotted">
          <color auto="1"/>
        </left>
        <right style="medium">
          <color auto="1"/>
        </right>
        <top style="dotted">
          <color auto="1"/>
        </top>
        <bottom style="dotted">
          <color auto="1"/>
        </bottom>
        <vertical/>
        <horizontal style="dotted">
          <color auto="1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2" tint="-0.499984740745262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1499984740745262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dotted">
          <color auto="1"/>
        </left>
        <right style="dotted">
          <color auto="1"/>
        </right>
        <top/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>
        <right style="dotted">
          <color auto="1"/>
        </right>
      </border>
      <protection locked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protection locked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protection locked="1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protection locked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solid">
          <fgColor indexed="64"/>
          <bgColor rgb="FFE6E6E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  <protection locked="1"/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  <color theme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rgb="FF00B050"/>
      </font>
    </dxf>
    <dxf>
      <font>
        <b/>
        <i/>
        <color rgb="FF00B050"/>
      </font>
    </dxf>
    <dxf>
      <font>
        <b/>
        <i/>
        <color rgb="FF00B050"/>
      </font>
    </dxf>
    <dxf>
      <font>
        <b/>
        <i/>
        <color rgb="FF00B050"/>
      </font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/>
        <i/>
        <color theme="1"/>
      </font>
    </dxf>
    <dxf>
      <fill>
        <patternFill>
          <bgColor theme="0" tint="-4.9989318521683403E-2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5FF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D$10" lockText="1" noThreeD="1"/>
</file>

<file path=xl/ctrlProps/ctrlProp10.xml><?xml version="1.0" encoding="utf-8"?>
<formControlPr xmlns="http://schemas.microsoft.com/office/spreadsheetml/2009/9/main" objectType="CheckBox" fmlaLink="$D$23" lockText="1" noThreeD="1"/>
</file>

<file path=xl/ctrlProps/ctrlProp11.xml><?xml version="1.0" encoding="utf-8"?>
<formControlPr xmlns="http://schemas.microsoft.com/office/spreadsheetml/2009/9/main" objectType="CheckBox" fmlaLink="$D$21" lockText="1" noThreeD="1"/>
</file>

<file path=xl/ctrlProps/ctrlProp12.xml><?xml version="1.0" encoding="utf-8"?>
<formControlPr xmlns="http://schemas.microsoft.com/office/spreadsheetml/2009/9/main" objectType="CheckBox" fmlaLink="$D$21" lockText="1" noThreeD="1"/>
</file>

<file path=xl/ctrlProps/ctrlProp13.xml><?xml version="1.0" encoding="utf-8"?>
<formControlPr xmlns="http://schemas.microsoft.com/office/spreadsheetml/2009/9/main" objectType="CheckBox" fmlaLink="$D$36" lockText="1" noThreeD="1"/>
</file>

<file path=xl/ctrlProps/ctrlProp14.xml><?xml version="1.0" encoding="utf-8"?>
<formControlPr xmlns="http://schemas.microsoft.com/office/spreadsheetml/2009/9/main" objectType="CheckBox" fmlaLink="$D$37" lockText="1" noThreeD="1"/>
</file>

<file path=xl/ctrlProps/ctrlProp15.xml><?xml version="1.0" encoding="utf-8"?>
<formControlPr xmlns="http://schemas.microsoft.com/office/spreadsheetml/2009/9/main" objectType="CheckBox" fmlaLink="$D$19" lockText="1" noThreeD="1"/>
</file>

<file path=xl/ctrlProps/ctrlProp16.xml><?xml version="1.0" encoding="utf-8"?>
<formControlPr xmlns="http://schemas.microsoft.com/office/spreadsheetml/2009/9/main" objectType="CheckBox" fmlaLink="$D$22" lockText="1" noThreeD="1"/>
</file>

<file path=xl/ctrlProps/ctrlProp17.xml><?xml version="1.0" encoding="utf-8"?>
<formControlPr xmlns="http://schemas.microsoft.com/office/spreadsheetml/2009/9/main" objectType="CheckBox" fmlaLink="$D$21" lockText="1" noThreeD="1"/>
</file>

<file path=xl/ctrlProps/ctrlProp18.xml><?xml version="1.0" encoding="utf-8"?>
<formControlPr xmlns="http://schemas.microsoft.com/office/spreadsheetml/2009/9/main" objectType="CheckBox" fmlaLink="$D$20" lockText="1" noThreeD="1"/>
</file>

<file path=xl/ctrlProps/ctrlProp19.xml><?xml version="1.0" encoding="utf-8"?>
<formControlPr xmlns="http://schemas.microsoft.com/office/spreadsheetml/2009/9/main" objectType="CheckBox" fmlaLink="$D$42" lockText="1" noThreeD="1"/>
</file>

<file path=xl/ctrlProps/ctrlProp2.xml><?xml version="1.0" encoding="utf-8"?>
<formControlPr xmlns="http://schemas.microsoft.com/office/spreadsheetml/2009/9/main" objectType="CheckBox" fmlaLink="$D$11" lockText="1" noThreeD="1"/>
</file>

<file path=xl/ctrlProps/ctrlProp20.xml><?xml version="1.0" encoding="utf-8"?>
<formControlPr xmlns="http://schemas.microsoft.com/office/spreadsheetml/2009/9/main" objectType="CheckBox" fmlaLink="$D$25" lockText="1" noThreeD="1"/>
</file>

<file path=xl/ctrlProps/ctrlProp21.xml><?xml version="1.0" encoding="utf-8"?>
<formControlPr xmlns="http://schemas.microsoft.com/office/spreadsheetml/2009/9/main" objectType="CheckBox" fmlaLink="$D$27" lockText="1" noThreeD="1"/>
</file>

<file path=xl/ctrlProps/ctrlProp22.xml><?xml version="1.0" encoding="utf-8"?>
<formControlPr xmlns="http://schemas.microsoft.com/office/spreadsheetml/2009/9/main" objectType="CheckBox" fmlaLink="$D$28" lockText="1" noThreeD="1"/>
</file>

<file path=xl/ctrlProps/ctrlProp23.xml><?xml version="1.0" encoding="utf-8"?>
<formControlPr xmlns="http://schemas.microsoft.com/office/spreadsheetml/2009/9/main" objectType="CheckBox" fmlaLink="$D$29" lockText="1" noThreeD="1"/>
</file>

<file path=xl/ctrlProps/ctrlProp24.xml><?xml version="1.0" encoding="utf-8"?>
<formControlPr xmlns="http://schemas.microsoft.com/office/spreadsheetml/2009/9/main" objectType="CheckBox" fmlaLink="$D$38" lockText="1" noThreeD="1"/>
</file>

<file path=xl/ctrlProps/ctrlProp25.xml><?xml version="1.0" encoding="utf-8"?>
<formControlPr xmlns="http://schemas.microsoft.com/office/spreadsheetml/2009/9/main" objectType="CheckBox" fmlaLink="$D$39" lockText="1" noThreeD="1"/>
</file>

<file path=xl/ctrlProps/ctrlProp26.xml><?xml version="1.0" encoding="utf-8"?>
<formControlPr xmlns="http://schemas.microsoft.com/office/spreadsheetml/2009/9/main" objectType="CheckBox" fmlaLink="$D$43" lockText="1" noThreeD="1"/>
</file>

<file path=xl/ctrlProps/ctrlProp27.xml><?xml version="1.0" encoding="utf-8"?>
<formControlPr xmlns="http://schemas.microsoft.com/office/spreadsheetml/2009/9/main" objectType="CheckBox" fmlaLink="$D$30" lockText="1" noThreeD="1"/>
</file>

<file path=xl/ctrlProps/ctrlProp28.xml><?xml version="1.0" encoding="utf-8"?>
<formControlPr xmlns="http://schemas.microsoft.com/office/spreadsheetml/2009/9/main" objectType="CheckBox" fmlaLink="$D$31" lockText="1" noThreeD="1"/>
</file>

<file path=xl/ctrlProps/ctrlProp29.xml><?xml version="1.0" encoding="utf-8"?>
<formControlPr xmlns="http://schemas.microsoft.com/office/spreadsheetml/2009/9/main" objectType="CheckBox" fmlaLink="$D$32" lockText="1" noThreeD="1"/>
</file>

<file path=xl/ctrlProps/ctrlProp3.xml><?xml version="1.0" encoding="utf-8"?>
<formControlPr xmlns="http://schemas.microsoft.com/office/spreadsheetml/2009/9/main" objectType="CheckBox" fmlaLink="$D$13" lockText="1" noThreeD="1"/>
</file>

<file path=xl/ctrlProps/ctrlProp30.xml><?xml version="1.0" encoding="utf-8"?>
<formControlPr xmlns="http://schemas.microsoft.com/office/spreadsheetml/2009/9/main" objectType="CheckBox" fmlaLink="$D$21" lockText="1" noThreeD="1"/>
</file>

<file path=xl/ctrlProps/ctrlProp31.xml><?xml version="1.0" encoding="utf-8"?>
<formControlPr xmlns="http://schemas.microsoft.com/office/spreadsheetml/2009/9/main" objectType="CheckBox" fmlaLink="$D$40" lockText="1" noThreeD="1"/>
</file>

<file path=xl/ctrlProps/ctrlProp32.xml><?xml version="1.0" encoding="utf-8"?>
<formControlPr xmlns="http://schemas.microsoft.com/office/spreadsheetml/2009/9/main" objectType="CheckBox" fmlaLink="$D$46" lockText="1" noThreeD="1"/>
</file>

<file path=xl/ctrlProps/ctrlProp33.xml><?xml version="1.0" encoding="utf-8"?>
<formControlPr xmlns="http://schemas.microsoft.com/office/spreadsheetml/2009/9/main" objectType="CheckBox" fmlaLink="$D$51" lockText="1" noThreeD="1"/>
</file>

<file path=xl/ctrlProps/ctrlProp34.xml><?xml version="1.0" encoding="utf-8"?>
<formControlPr xmlns="http://schemas.microsoft.com/office/spreadsheetml/2009/9/main" objectType="CheckBox" fmlaLink="$D$52" lockText="1" noThreeD="1"/>
</file>

<file path=xl/ctrlProps/ctrlProp35.xml><?xml version="1.0" encoding="utf-8"?>
<formControlPr xmlns="http://schemas.microsoft.com/office/spreadsheetml/2009/9/main" objectType="CheckBox" fmlaLink="$D$53" lockText="1" noThreeD="1"/>
</file>

<file path=xl/ctrlProps/ctrlProp36.xml><?xml version="1.0" encoding="utf-8"?>
<formControlPr xmlns="http://schemas.microsoft.com/office/spreadsheetml/2009/9/main" objectType="CheckBox" fmlaLink="$D$47" lockText="1" noThreeD="1"/>
</file>

<file path=xl/ctrlProps/ctrlProp37.xml><?xml version="1.0" encoding="utf-8"?>
<formControlPr xmlns="http://schemas.microsoft.com/office/spreadsheetml/2009/9/main" objectType="CheckBox" fmlaLink="$D$48" lockText="1" noThreeD="1"/>
</file>

<file path=xl/ctrlProps/ctrlProp38.xml><?xml version="1.0" encoding="utf-8"?>
<formControlPr xmlns="http://schemas.microsoft.com/office/spreadsheetml/2009/9/main" objectType="CheckBox" fmlaLink="$D$50" lockText="1" noThreeD="1"/>
</file>

<file path=xl/ctrlProps/ctrlProp39.xml><?xml version="1.0" encoding="utf-8"?>
<formControlPr xmlns="http://schemas.microsoft.com/office/spreadsheetml/2009/9/main" objectType="CheckBox" fmlaLink="$D$49" lockText="1" noThreeD="1"/>
</file>

<file path=xl/ctrlProps/ctrlProp4.xml><?xml version="1.0" encoding="utf-8"?>
<formControlPr xmlns="http://schemas.microsoft.com/office/spreadsheetml/2009/9/main" objectType="CheckBox" fmlaLink="$D$14" lockText="1" noThreeD="1"/>
</file>

<file path=xl/ctrlProps/ctrlProp40.xml><?xml version="1.0" encoding="utf-8"?>
<formControlPr xmlns="http://schemas.microsoft.com/office/spreadsheetml/2009/9/main" objectType="CheckBox" fmlaLink="$D$51" lockText="1" noThreeD="1"/>
</file>

<file path=xl/ctrlProps/ctrlProp41.xml><?xml version="1.0" encoding="utf-8"?>
<formControlPr xmlns="http://schemas.microsoft.com/office/spreadsheetml/2009/9/main" objectType="CheckBox" fmlaLink="$D$56" lockText="1" noThreeD="1"/>
</file>

<file path=xl/ctrlProps/ctrlProp42.xml><?xml version="1.0" encoding="utf-8"?>
<formControlPr xmlns="http://schemas.microsoft.com/office/spreadsheetml/2009/9/main" objectType="CheckBox" fmlaLink="$D$57" lockText="1" noThreeD="1"/>
</file>

<file path=xl/ctrlProps/ctrlProp43.xml><?xml version="1.0" encoding="utf-8"?>
<formControlPr xmlns="http://schemas.microsoft.com/office/spreadsheetml/2009/9/main" objectType="CheckBox" fmlaLink="$D$58" lockText="1" noThreeD="1"/>
</file>

<file path=xl/ctrlProps/ctrlProp44.xml><?xml version="1.0" encoding="utf-8"?>
<formControlPr xmlns="http://schemas.microsoft.com/office/spreadsheetml/2009/9/main" objectType="CheckBox" fmlaLink="$D$59" lockText="1" noThreeD="1"/>
</file>

<file path=xl/ctrlProps/ctrlProp45.xml><?xml version="1.0" encoding="utf-8"?>
<formControlPr xmlns="http://schemas.microsoft.com/office/spreadsheetml/2009/9/main" objectType="CheckBox" fmlaLink="$D$60" lockText="1" noThreeD="1"/>
</file>

<file path=xl/ctrlProps/ctrlProp46.xml><?xml version="1.0" encoding="utf-8"?>
<formControlPr xmlns="http://schemas.microsoft.com/office/spreadsheetml/2009/9/main" objectType="CheckBox" fmlaLink="$D$62" lockText="1" noThreeD="1"/>
</file>

<file path=xl/ctrlProps/ctrlProp47.xml><?xml version="1.0" encoding="utf-8"?>
<formControlPr xmlns="http://schemas.microsoft.com/office/spreadsheetml/2009/9/main" objectType="CheckBox" fmlaLink="$D$63" lockText="1" noThreeD="1"/>
</file>

<file path=xl/ctrlProps/ctrlProp48.xml><?xml version="1.0" encoding="utf-8"?>
<formControlPr xmlns="http://schemas.microsoft.com/office/spreadsheetml/2009/9/main" objectType="CheckBox" fmlaLink="$D$61" lockText="1" noThreeD="1"/>
</file>

<file path=xl/ctrlProps/ctrlProp49.xml><?xml version="1.0" encoding="utf-8"?>
<formControlPr xmlns="http://schemas.microsoft.com/office/spreadsheetml/2009/9/main" objectType="CheckBox" fmlaLink="$D$62" lockText="1" noThreeD="1"/>
</file>

<file path=xl/ctrlProps/ctrlProp5.xml><?xml version="1.0" encoding="utf-8"?>
<formControlPr xmlns="http://schemas.microsoft.com/office/spreadsheetml/2009/9/main" objectType="CheckBox" fmlaLink="$D$15" lockText="1" noThreeD="1"/>
</file>

<file path=xl/ctrlProps/ctrlProp50.xml><?xml version="1.0" encoding="utf-8"?>
<formControlPr xmlns="http://schemas.microsoft.com/office/spreadsheetml/2009/9/main" objectType="CheckBox" fmlaLink="$D$70" lockText="1" noThreeD="1"/>
</file>

<file path=xl/ctrlProps/ctrlProp51.xml><?xml version="1.0" encoding="utf-8"?>
<formControlPr xmlns="http://schemas.microsoft.com/office/spreadsheetml/2009/9/main" objectType="CheckBox" fmlaLink="$D$66" lockText="1" noThreeD="1"/>
</file>

<file path=xl/ctrlProps/ctrlProp52.xml><?xml version="1.0" encoding="utf-8"?>
<formControlPr xmlns="http://schemas.microsoft.com/office/spreadsheetml/2009/9/main" objectType="CheckBox" fmlaLink="$D$71" lockText="1" noThreeD="1"/>
</file>

<file path=xl/ctrlProps/ctrlProp53.xml><?xml version="1.0" encoding="utf-8"?>
<formControlPr xmlns="http://schemas.microsoft.com/office/spreadsheetml/2009/9/main" objectType="CheckBox" fmlaLink="$D$72" lockText="1" noThreeD="1"/>
</file>

<file path=xl/ctrlProps/ctrlProp54.xml><?xml version="1.0" encoding="utf-8"?>
<formControlPr xmlns="http://schemas.microsoft.com/office/spreadsheetml/2009/9/main" objectType="CheckBox" fmlaLink="$D$73" lockText="1" noThreeD="1"/>
</file>

<file path=xl/ctrlProps/ctrlProp55.xml><?xml version="1.0" encoding="utf-8"?>
<formControlPr xmlns="http://schemas.microsoft.com/office/spreadsheetml/2009/9/main" objectType="CheckBox" fmlaLink="$D$67" lockText="1" noThreeD="1"/>
</file>

<file path=xl/ctrlProps/ctrlProp56.xml><?xml version="1.0" encoding="utf-8"?>
<formControlPr xmlns="http://schemas.microsoft.com/office/spreadsheetml/2009/9/main" objectType="CheckBox" fmlaLink="$D$69" lockText="1" noThreeD="1"/>
</file>

<file path=xl/ctrlProps/ctrlProp57.xml><?xml version="1.0" encoding="utf-8"?>
<formControlPr xmlns="http://schemas.microsoft.com/office/spreadsheetml/2009/9/main" objectType="CheckBox" fmlaLink="$D$68" lockText="1" noThreeD="1"/>
</file>

<file path=xl/ctrlProps/ctrlProp58.xml><?xml version="1.0" encoding="utf-8"?>
<formControlPr xmlns="http://schemas.microsoft.com/office/spreadsheetml/2009/9/main" objectType="Drop" dropStyle="combo" dx="22" fmlaLink="$F$5" fmlaRange="$N$4:$N$7" noThreeD="1" sel="4" val="0"/>
</file>

<file path=xl/ctrlProps/ctrlProp59.xml><?xml version="1.0" encoding="utf-8"?>
<formControlPr xmlns="http://schemas.microsoft.com/office/spreadsheetml/2009/9/main" objectType="CheckBox" fmlaLink="$D$34" lockText="1" noThreeD="1"/>
</file>

<file path=xl/ctrlProps/ctrlProp6.xml><?xml version="1.0" encoding="utf-8"?>
<formControlPr xmlns="http://schemas.microsoft.com/office/spreadsheetml/2009/9/main" objectType="CheckBox" fmlaLink="$D$16" lockText="1" noThreeD="1"/>
</file>

<file path=xl/ctrlProps/ctrlProp60.xml><?xml version="1.0" encoding="utf-8"?>
<formControlPr xmlns="http://schemas.microsoft.com/office/spreadsheetml/2009/9/main" objectType="CheckBox" fmlaLink="$D$65" lockText="1" noThreeD="1"/>
</file>

<file path=xl/ctrlProps/ctrlProp61.xml><?xml version="1.0" encoding="utf-8"?>
<formControlPr xmlns="http://schemas.microsoft.com/office/spreadsheetml/2009/9/main" objectType="CheckBox" fmlaLink="$D$55" lockText="1" noThreeD="1"/>
</file>

<file path=xl/ctrlProps/ctrlProp7.xml><?xml version="1.0" encoding="utf-8"?>
<formControlPr xmlns="http://schemas.microsoft.com/office/spreadsheetml/2009/9/main" objectType="CheckBox" fmlaLink="$D$17" lockText="1" noThreeD="1"/>
</file>

<file path=xl/ctrlProps/ctrlProp8.xml><?xml version="1.0" encoding="utf-8"?>
<formControlPr xmlns="http://schemas.microsoft.com/office/spreadsheetml/2009/9/main" objectType="CheckBox" fmlaLink="$D$22" lockText="1" noThreeD="1"/>
</file>

<file path=xl/ctrlProps/ctrlProp9.xml><?xml version="1.0" encoding="utf-8"?>
<formControlPr xmlns="http://schemas.microsoft.com/office/spreadsheetml/2009/9/main" objectType="CheckBox" fmlaLink="$D$18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9</xdr:row>
          <xdr:rowOff>0</xdr:rowOff>
        </xdr:from>
        <xdr:to>
          <xdr:col>3</xdr:col>
          <xdr:colOff>1009650</xdr:colOff>
          <xdr:row>9</xdr:row>
          <xdr:rowOff>219075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9</xdr:row>
          <xdr:rowOff>314325</xdr:rowOff>
        </xdr:from>
        <xdr:to>
          <xdr:col>3</xdr:col>
          <xdr:colOff>1009650</xdr:colOff>
          <xdr:row>10</xdr:row>
          <xdr:rowOff>219075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11</xdr:row>
          <xdr:rowOff>314325</xdr:rowOff>
        </xdr:from>
        <xdr:to>
          <xdr:col>3</xdr:col>
          <xdr:colOff>1009650</xdr:colOff>
          <xdr:row>12</xdr:row>
          <xdr:rowOff>219075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12</xdr:row>
          <xdr:rowOff>314325</xdr:rowOff>
        </xdr:from>
        <xdr:to>
          <xdr:col>3</xdr:col>
          <xdr:colOff>1009650</xdr:colOff>
          <xdr:row>13</xdr:row>
          <xdr:rowOff>219075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13</xdr:row>
          <xdr:rowOff>314325</xdr:rowOff>
        </xdr:from>
        <xdr:to>
          <xdr:col>3</xdr:col>
          <xdr:colOff>1009650</xdr:colOff>
          <xdr:row>14</xdr:row>
          <xdr:rowOff>219075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14</xdr:row>
          <xdr:rowOff>314325</xdr:rowOff>
        </xdr:from>
        <xdr:to>
          <xdr:col>3</xdr:col>
          <xdr:colOff>1009650</xdr:colOff>
          <xdr:row>15</xdr:row>
          <xdr:rowOff>219075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15</xdr:row>
          <xdr:rowOff>314325</xdr:rowOff>
        </xdr:from>
        <xdr:to>
          <xdr:col>3</xdr:col>
          <xdr:colOff>1009650</xdr:colOff>
          <xdr:row>16</xdr:row>
          <xdr:rowOff>219075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20</xdr:row>
          <xdr:rowOff>314325</xdr:rowOff>
        </xdr:from>
        <xdr:to>
          <xdr:col>3</xdr:col>
          <xdr:colOff>1009650</xdr:colOff>
          <xdr:row>21</xdr:row>
          <xdr:rowOff>219075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16</xdr:row>
          <xdr:rowOff>314325</xdr:rowOff>
        </xdr:from>
        <xdr:to>
          <xdr:col>3</xdr:col>
          <xdr:colOff>1009650</xdr:colOff>
          <xdr:row>17</xdr:row>
          <xdr:rowOff>219075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21</xdr:row>
          <xdr:rowOff>314325</xdr:rowOff>
        </xdr:from>
        <xdr:to>
          <xdr:col>3</xdr:col>
          <xdr:colOff>1009650</xdr:colOff>
          <xdr:row>22</xdr:row>
          <xdr:rowOff>219075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17</xdr:row>
          <xdr:rowOff>314325</xdr:rowOff>
        </xdr:from>
        <xdr:to>
          <xdr:col>3</xdr:col>
          <xdr:colOff>1009650</xdr:colOff>
          <xdr:row>18</xdr:row>
          <xdr:rowOff>219075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34</xdr:row>
          <xdr:rowOff>314325</xdr:rowOff>
        </xdr:from>
        <xdr:to>
          <xdr:col>3</xdr:col>
          <xdr:colOff>1009650</xdr:colOff>
          <xdr:row>35</xdr:row>
          <xdr:rowOff>219075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34</xdr:row>
          <xdr:rowOff>314325</xdr:rowOff>
        </xdr:from>
        <xdr:to>
          <xdr:col>3</xdr:col>
          <xdr:colOff>1009650</xdr:colOff>
          <xdr:row>35</xdr:row>
          <xdr:rowOff>219075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1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35</xdr:row>
          <xdr:rowOff>314325</xdr:rowOff>
        </xdr:from>
        <xdr:to>
          <xdr:col>3</xdr:col>
          <xdr:colOff>1009650</xdr:colOff>
          <xdr:row>36</xdr:row>
          <xdr:rowOff>219075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1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17</xdr:row>
          <xdr:rowOff>314325</xdr:rowOff>
        </xdr:from>
        <xdr:to>
          <xdr:col>3</xdr:col>
          <xdr:colOff>1009650</xdr:colOff>
          <xdr:row>18</xdr:row>
          <xdr:rowOff>219075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18</xdr:row>
          <xdr:rowOff>314325</xdr:rowOff>
        </xdr:from>
        <xdr:to>
          <xdr:col>3</xdr:col>
          <xdr:colOff>1009650</xdr:colOff>
          <xdr:row>19</xdr:row>
          <xdr:rowOff>219075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18</xdr:row>
          <xdr:rowOff>314325</xdr:rowOff>
        </xdr:from>
        <xdr:to>
          <xdr:col>3</xdr:col>
          <xdr:colOff>1009650</xdr:colOff>
          <xdr:row>19</xdr:row>
          <xdr:rowOff>219075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18</xdr:row>
          <xdr:rowOff>314325</xdr:rowOff>
        </xdr:from>
        <xdr:to>
          <xdr:col>3</xdr:col>
          <xdr:colOff>1009650</xdr:colOff>
          <xdr:row>19</xdr:row>
          <xdr:rowOff>219075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40</xdr:row>
          <xdr:rowOff>314325</xdr:rowOff>
        </xdr:from>
        <xdr:to>
          <xdr:col>3</xdr:col>
          <xdr:colOff>1009650</xdr:colOff>
          <xdr:row>41</xdr:row>
          <xdr:rowOff>219075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23</xdr:row>
          <xdr:rowOff>314325</xdr:rowOff>
        </xdr:from>
        <xdr:to>
          <xdr:col>3</xdr:col>
          <xdr:colOff>1009650</xdr:colOff>
          <xdr:row>24</xdr:row>
          <xdr:rowOff>219075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25</xdr:row>
          <xdr:rowOff>314325</xdr:rowOff>
        </xdr:from>
        <xdr:to>
          <xdr:col>3</xdr:col>
          <xdr:colOff>1009650</xdr:colOff>
          <xdr:row>26</xdr:row>
          <xdr:rowOff>219075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1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26</xdr:row>
          <xdr:rowOff>314325</xdr:rowOff>
        </xdr:from>
        <xdr:to>
          <xdr:col>3</xdr:col>
          <xdr:colOff>1009650</xdr:colOff>
          <xdr:row>27</xdr:row>
          <xdr:rowOff>219075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1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27</xdr:row>
          <xdr:rowOff>314325</xdr:rowOff>
        </xdr:from>
        <xdr:to>
          <xdr:col>3</xdr:col>
          <xdr:colOff>1009650</xdr:colOff>
          <xdr:row>28</xdr:row>
          <xdr:rowOff>219075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1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36</xdr:row>
          <xdr:rowOff>314325</xdr:rowOff>
        </xdr:from>
        <xdr:to>
          <xdr:col>3</xdr:col>
          <xdr:colOff>1009650</xdr:colOff>
          <xdr:row>37</xdr:row>
          <xdr:rowOff>219075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37</xdr:row>
          <xdr:rowOff>314325</xdr:rowOff>
        </xdr:from>
        <xdr:to>
          <xdr:col>3</xdr:col>
          <xdr:colOff>1009650</xdr:colOff>
          <xdr:row>38</xdr:row>
          <xdr:rowOff>219075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1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41</xdr:row>
          <xdr:rowOff>314325</xdr:rowOff>
        </xdr:from>
        <xdr:to>
          <xdr:col>3</xdr:col>
          <xdr:colOff>1009650</xdr:colOff>
          <xdr:row>42</xdr:row>
          <xdr:rowOff>219075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1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28</xdr:row>
          <xdr:rowOff>314325</xdr:rowOff>
        </xdr:from>
        <xdr:to>
          <xdr:col>3</xdr:col>
          <xdr:colOff>1009650</xdr:colOff>
          <xdr:row>29</xdr:row>
          <xdr:rowOff>219075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1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29</xdr:row>
          <xdr:rowOff>314325</xdr:rowOff>
        </xdr:from>
        <xdr:to>
          <xdr:col>3</xdr:col>
          <xdr:colOff>1009650</xdr:colOff>
          <xdr:row>30</xdr:row>
          <xdr:rowOff>219075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1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30</xdr:row>
          <xdr:rowOff>314325</xdr:rowOff>
        </xdr:from>
        <xdr:to>
          <xdr:col>3</xdr:col>
          <xdr:colOff>1009650</xdr:colOff>
          <xdr:row>31</xdr:row>
          <xdr:rowOff>219075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1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19</xdr:row>
          <xdr:rowOff>314325</xdr:rowOff>
        </xdr:from>
        <xdr:to>
          <xdr:col>3</xdr:col>
          <xdr:colOff>1009650</xdr:colOff>
          <xdr:row>20</xdr:row>
          <xdr:rowOff>219075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1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38</xdr:row>
          <xdr:rowOff>314325</xdr:rowOff>
        </xdr:from>
        <xdr:to>
          <xdr:col>3</xdr:col>
          <xdr:colOff>1009650</xdr:colOff>
          <xdr:row>39</xdr:row>
          <xdr:rowOff>219075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1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44</xdr:row>
          <xdr:rowOff>314325</xdr:rowOff>
        </xdr:from>
        <xdr:to>
          <xdr:col>3</xdr:col>
          <xdr:colOff>1009650</xdr:colOff>
          <xdr:row>45</xdr:row>
          <xdr:rowOff>219075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1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49</xdr:row>
          <xdr:rowOff>314325</xdr:rowOff>
        </xdr:from>
        <xdr:to>
          <xdr:col>3</xdr:col>
          <xdr:colOff>1009650</xdr:colOff>
          <xdr:row>50</xdr:row>
          <xdr:rowOff>219075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1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50</xdr:row>
          <xdr:rowOff>314325</xdr:rowOff>
        </xdr:from>
        <xdr:to>
          <xdr:col>3</xdr:col>
          <xdr:colOff>1009650</xdr:colOff>
          <xdr:row>51</xdr:row>
          <xdr:rowOff>219075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1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51</xdr:row>
          <xdr:rowOff>314325</xdr:rowOff>
        </xdr:from>
        <xdr:to>
          <xdr:col>3</xdr:col>
          <xdr:colOff>1009650</xdr:colOff>
          <xdr:row>52</xdr:row>
          <xdr:rowOff>219075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1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45</xdr:row>
          <xdr:rowOff>314325</xdr:rowOff>
        </xdr:from>
        <xdr:to>
          <xdr:col>3</xdr:col>
          <xdr:colOff>1009650</xdr:colOff>
          <xdr:row>46</xdr:row>
          <xdr:rowOff>219075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1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46</xdr:row>
          <xdr:rowOff>314325</xdr:rowOff>
        </xdr:from>
        <xdr:to>
          <xdr:col>3</xdr:col>
          <xdr:colOff>1009650</xdr:colOff>
          <xdr:row>47</xdr:row>
          <xdr:rowOff>219075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1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48</xdr:row>
          <xdr:rowOff>314325</xdr:rowOff>
        </xdr:from>
        <xdr:to>
          <xdr:col>3</xdr:col>
          <xdr:colOff>1009650</xdr:colOff>
          <xdr:row>49</xdr:row>
          <xdr:rowOff>219075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1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47</xdr:row>
          <xdr:rowOff>314325</xdr:rowOff>
        </xdr:from>
        <xdr:to>
          <xdr:col>3</xdr:col>
          <xdr:colOff>1009650</xdr:colOff>
          <xdr:row>48</xdr:row>
          <xdr:rowOff>219075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1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49</xdr:row>
          <xdr:rowOff>314325</xdr:rowOff>
        </xdr:from>
        <xdr:to>
          <xdr:col>3</xdr:col>
          <xdr:colOff>1009650</xdr:colOff>
          <xdr:row>50</xdr:row>
          <xdr:rowOff>219075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1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54</xdr:row>
          <xdr:rowOff>314325</xdr:rowOff>
        </xdr:from>
        <xdr:to>
          <xdr:col>3</xdr:col>
          <xdr:colOff>1009650</xdr:colOff>
          <xdr:row>55</xdr:row>
          <xdr:rowOff>219075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1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55</xdr:row>
          <xdr:rowOff>314325</xdr:rowOff>
        </xdr:from>
        <xdr:to>
          <xdr:col>3</xdr:col>
          <xdr:colOff>1009650</xdr:colOff>
          <xdr:row>56</xdr:row>
          <xdr:rowOff>219075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1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56</xdr:row>
          <xdr:rowOff>314325</xdr:rowOff>
        </xdr:from>
        <xdr:to>
          <xdr:col>3</xdr:col>
          <xdr:colOff>1009650</xdr:colOff>
          <xdr:row>57</xdr:row>
          <xdr:rowOff>219075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1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57</xdr:row>
          <xdr:rowOff>314325</xdr:rowOff>
        </xdr:from>
        <xdr:to>
          <xdr:col>3</xdr:col>
          <xdr:colOff>1009650</xdr:colOff>
          <xdr:row>58</xdr:row>
          <xdr:rowOff>219075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1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58</xdr:row>
          <xdr:rowOff>314325</xdr:rowOff>
        </xdr:from>
        <xdr:to>
          <xdr:col>3</xdr:col>
          <xdr:colOff>1009650</xdr:colOff>
          <xdr:row>59</xdr:row>
          <xdr:rowOff>219075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1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61</xdr:row>
          <xdr:rowOff>0</xdr:rowOff>
        </xdr:from>
        <xdr:to>
          <xdr:col>3</xdr:col>
          <xdr:colOff>1009650</xdr:colOff>
          <xdr:row>61</xdr:row>
          <xdr:rowOff>219075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1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61</xdr:row>
          <xdr:rowOff>314325</xdr:rowOff>
        </xdr:from>
        <xdr:to>
          <xdr:col>3</xdr:col>
          <xdr:colOff>1009650</xdr:colOff>
          <xdr:row>62</xdr:row>
          <xdr:rowOff>219075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1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60</xdr:row>
          <xdr:rowOff>0</xdr:rowOff>
        </xdr:from>
        <xdr:to>
          <xdr:col>3</xdr:col>
          <xdr:colOff>1009650</xdr:colOff>
          <xdr:row>60</xdr:row>
          <xdr:rowOff>219075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1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60</xdr:row>
          <xdr:rowOff>314325</xdr:rowOff>
        </xdr:from>
        <xdr:to>
          <xdr:col>3</xdr:col>
          <xdr:colOff>1009650</xdr:colOff>
          <xdr:row>61</xdr:row>
          <xdr:rowOff>219075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1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68</xdr:row>
          <xdr:rowOff>314325</xdr:rowOff>
        </xdr:from>
        <xdr:to>
          <xdr:col>3</xdr:col>
          <xdr:colOff>1009650</xdr:colOff>
          <xdr:row>69</xdr:row>
          <xdr:rowOff>219075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1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64</xdr:row>
          <xdr:rowOff>314325</xdr:rowOff>
        </xdr:from>
        <xdr:to>
          <xdr:col>3</xdr:col>
          <xdr:colOff>1009650</xdr:colOff>
          <xdr:row>65</xdr:row>
          <xdr:rowOff>219075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1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69</xdr:row>
          <xdr:rowOff>314325</xdr:rowOff>
        </xdr:from>
        <xdr:to>
          <xdr:col>3</xdr:col>
          <xdr:colOff>1009650</xdr:colOff>
          <xdr:row>70</xdr:row>
          <xdr:rowOff>219075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1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70</xdr:row>
          <xdr:rowOff>314325</xdr:rowOff>
        </xdr:from>
        <xdr:to>
          <xdr:col>3</xdr:col>
          <xdr:colOff>1009650</xdr:colOff>
          <xdr:row>71</xdr:row>
          <xdr:rowOff>219075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1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71</xdr:row>
          <xdr:rowOff>314325</xdr:rowOff>
        </xdr:from>
        <xdr:to>
          <xdr:col>3</xdr:col>
          <xdr:colOff>1009650</xdr:colOff>
          <xdr:row>72</xdr:row>
          <xdr:rowOff>219075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1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65</xdr:row>
          <xdr:rowOff>314325</xdr:rowOff>
        </xdr:from>
        <xdr:to>
          <xdr:col>3</xdr:col>
          <xdr:colOff>1009650</xdr:colOff>
          <xdr:row>66</xdr:row>
          <xdr:rowOff>219075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1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67</xdr:row>
          <xdr:rowOff>304800</xdr:rowOff>
        </xdr:from>
        <xdr:to>
          <xdr:col>3</xdr:col>
          <xdr:colOff>1009650</xdr:colOff>
          <xdr:row>68</xdr:row>
          <xdr:rowOff>209550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1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66</xdr:row>
          <xdr:rowOff>314325</xdr:rowOff>
        </xdr:from>
        <xdr:to>
          <xdr:col>3</xdr:col>
          <xdr:colOff>1009650</xdr:colOff>
          <xdr:row>67</xdr:row>
          <xdr:rowOff>219075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1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226359</xdr:colOff>
      <xdr:row>6</xdr:row>
      <xdr:rowOff>133352</xdr:rowOff>
    </xdr:from>
    <xdr:to>
      <xdr:col>3</xdr:col>
      <xdr:colOff>823913</xdr:colOff>
      <xdr:row>7</xdr:row>
      <xdr:rowOff>223841</xdr:rowOff>
    </xdr:to>
    <xdr:sp macro="" textlink="">
      <xdr:nvSpPr>
        <xdr:cNvPr id="2" name="Flecha: a la derecha con banda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5400000">
          <a:off x="356066" y="2184870"/>
          <a:ext cx="338139" cy="597554"/>
        </a:xfrm>
        <a:prstGeom prst="stripedRightArrow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4</xdr:row>
          <xdr:rowOff>19050</xdr:rowOff>
        </xdr:from>
        <xdr:to>
          <xdr:col>7</xdr:col>
          <xdr:colOff>2562225</xdr:colOff>
          <xdr:row>4</xdr:row>
          <xdr:rowOff>247650</xdr:rowOff>
        </xdr:to>
        <xdr:sp macro="" textlink="">
          <xdr:nvSpPr>
            <xdr:cNvPr id="1152" name="Drop Down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1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32</xdr:row>
          <xdr:rowOff>314325</xdr:rowOff>
        </xdr:from>
        <xdr:to>
          <xdr:col>3</xdr:col>
          <xdr:colOff>1009650</xdr:colOff>
          <xdr:row>33</xdr:row>
          <xdr:rowOff>219075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1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63</xdr:row>
          <xdr:rowOff>314325</xdr:rowOff>
        </xdr:from>
        <xdr:to>
          <xdr:col>3</xdr:col>
          <xdr:colOff>1009650</xdr:colOff>
          <xdr:row>64</xdr:row>
          <xdr:rowOff>219075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1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53</xdr:row>
          <xdr:rowOff>314325</xdr:rowOff>
        </xdr:from>
        <xdr:to>
          <xdr:col>3</xdr:col>
          <xdr:colOff>1009650</xdr:colOff>
          <xdr:row>54</xdr:row>
          <xdr:rowOff>219075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1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123825</xdr:colOff>
      <xdr:row>11</xdr:row>
      <xdr:rowOff>276225</xdr:rowOff>
    </xdr:from>
    <xdr:to>
      <xdr:col>3</xdr:col>
      <xdr:colOff>628650</xdr:colOff>
      <xdr:row>16</xdr:row>
      <xdr:rowOff>95250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3825" y="3743325"/>
          <a:ext cx="504825" cy="1390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vert="vert270" rtlCol="0" anchor="ctr"/>
        <a:lstStyle/>
        <a:p>
          <a:pPr algn="l"/>
          <a:r>
            <a:rPr lang="es-ES" sz="2400"/>
            <a:t> PRIMERO</a:t>
          </a:r>
          <a:endParaRPr lang="es-ES" sz="1100"/>
        </a:p>
      </xdr:txBody>
    </xdr:sp>
    <xdr:clientData/>
  </xdr:twoCellAnchor>
  <xdr:twoCellAnchor>
    <xdr:from>
      <xdr:col>3</xdr:col>
      <xdr:colOff>104775</xdr:colOff>
      <xdr:row>23</xdr:row>
      <xdr:rowOff>171449</xdr:rowOff>
    </xdr:from>
    <xdr:to>
      <xdr:col>3</xdr:col>
      <xdr:colOff>609600</xdr:colOff>
      <xdr:row>28</xdr:row>
      <xdr:rowOff>152399</xdr:rowOff>
    </xdr:to>
    <xdr:sp macro="" textlink="">
      <xdr:nvSpPr>
        <xdr:cNvPr id="65" name="Rectángulo: esquinas redondeadas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104775" y="7410449"/>
          <a:ext cx="504825" cy="1552575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vert="vert270" rtlCol="0" anchor="ctr"/>
        <a:lstStyle/>
        <a:p>
          <a:pPr algn="l"/>
          <a:r>
            <a:rPr lang="es-ES" sz="2400"/>
            <a:t> SEGUNDO</a:t>
          </a:r>
        </a:p>
      </xdr:txBody>
    </xdr:sp>
    <xdr:clientData/>
  </xdr:twoCellAnchor>
  <xdr:twoCellAnchor>
    <xdr:from>
      <xdr:col>3</xdr:col>
      <xdr:colOff>123825</xdr:colOff>
      <xdr:row>33</xdr:row>
      <xdr:rowOff>295275</xdr:rowOff>
    </xdr:from>
    <xdr:to>
      <xdr:col>3</xdr:col>
      <xdr:colOff>628650</xdr:colOff>
      <xdr:row>38</xdr:row>
      <xdr:rowOff>190500</xdr:rowOff>
    </xdr:to>
    <xdr:sp macro="" textlink="">
      <xdr:nvSpPr>
        <xdr:cNvPr id="66" name="Rectángulo: esquinas redondeadas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123825" y="10677525"/>
          <a:ext cx="504825" cy="14668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vert="vert270" rtlCol="0" anchor="ctr" anchorCtr="0"/>
        <a:lstStyle/>
        <a:p>
          <a:pPr algn="l"/>
          <a:r>
            <a:rPr lang="es-ES" sz="2400"/>
            <a:t> TERCERO</a:t>
          </a:r>
        </a:p>
      </xdr:txBody>
    </xdr:sp>
    <xdr:clientData/>
  </xdr:twoCellAnchor>
  <xdr:twoCellAnchor>
    <xdr:from>
      <xdr:col>3</xdr:col>
      <xdr:colOff>133350</xdr:colOff>
      <xdr:row>39</xdr:row>
      <xdr:rowOff>209549</xdr:rowOff>
    </xdr:from>
    <xdr:to>
      <xdr:col>3</xdr:col>
      <xdr:colOff>638175</xdr:colOff>
      <xdr:row>43</xdr:row>
      <xdr:rowOff>180974</xdr:rowOff>
    </xdr:to>
    <xdr:sp macro="" textlink="">
      <xdr:nvSpPr>
        <xdr:cNvPr id="67" name="Rectángulo: esquinas redondeadas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133350" y="12477749"/>
          <a:ext cx="504825" cy="1228725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vert="vert270" rtlCol="0" anchor="ctr" anchorCtr="0"/>
        <a:lstStyle/>
        <a:p>
          <a:pPr algn="l"/>
          <a:r>
            <a:rPr lang="es-ES" sz="2400"/>
            <a:t>CUARTO</a:t>
          </a:r>
        </a:p>
      </xdr:txBody>
    </xdr:sp>
    <xdr:clientData/>
  </xdr:twoCellAnchor>
  <xdr:twoCellAnchor editAs="oneCell">
    <xdr:from>
      <xdr:col>6</xdr:col>
      <xdr:colOff>47625</xdr:colOff>
      <xdr:row>94</xdr:row>
      <xdr:rowOff>200024</xdr:rowOff>
    </xdr:from>
    <xdr:to>
      <xdr:col>7</xdr:col>
      <xdr:colOff>132101</xdr:colOff>
      <xdr:row>95</xdr:row>
      <xdr:rowOff>695716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25000"/>
        </a:blip>
        <a:stretch>
          <a:fillRect/>
        </a:stretch>
      </xdr:blipFill>
      <xdr:spPr>
        <a:xfrm rot="16200000">
          <a:off x="4213992" y="25284932"/>
          <a:ext cx="705242" cy="922676"/>
        </a:xfrm>
        <a:prstGeom prst="rect">
          <a:avLst/>
        </a:prstGeom>
      </xdr:spPr>
    </xdr:pic>
    <xdr:clientData/>
  </xdr:twoCellAnchor>
  <xdr:twoCellAnchor>
    <xdr:from>
      <xdr:col>3</xdr:col>
      <xdr:colOff>95250</xdr:colOff>
      <xdr:row>7</xdr:row>
      <xdr:rowOff>180976</xdr:rowOff>
    </xdr:from>
    <xdr:to>
      <xdr:col>3</xdr:col>
      <xdr:colOff>952500</xdr:colOff>
      <xdr:row>9</xdr:row>
      <xdr:rowOff>95250</xdr:rowOff>
    </xdr:to>
    <xdr:sp macro="" textlink="">
      <xdr:nvSpPr>
        <xdr:cNvPr id="76" name="Elips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95250" y="2609851"/>
          <a:ext cx="857250" cy="733424"/>
        </a:xfrm>
        <a:prstGeom prst="ellipse">
          <a:avLst/>
        </a:prstGeom>
        <a:noFill/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0</xdr:colOff>
      <xdr:row>2</xdr:row>
      <xdr:rowOff>476250</xdr:rowOff>
    </xdr:from>
    <xdr:to>
      <xdr:col>4</xdr:col>
      <xdr:colOff>47625</xdr:colOff>
      <xdr:row>4</xdr:row>
      <xdr:rowOff>95250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1123950"/>
          <a:ext cx="1076325" cy="58102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Rellene </a:t>
          </a:r>
        </a:p>
        <a:p>
          <a:pPr algn="l"/>
          <a:r>
            <a:rPr lang="es-ES" sz="1100"/>
            <a:t>Nombre y DNI</a:t>
          </a:r>
        </a:p>
      </xdr:txBody>
    </xdr:sp>
    <xdr:clientData/>
  </xdr:twoCellAnchor>
  <xdr:twoCellAnchor>
    <xdr:from>
      <xdr:col>7</xdr:col>
      <xdr:colOff>2581275</xdr:colOff>
      <xdr:row>96</xdr:row>
      <xdr:rowOff>228601</xdr:rowOff>
    </xdr:from>
    <xdr:to>
      <xdr:col>8</xdr:col>
      <xdr:colOff>657225</xdr:colOff>
      <xdr:row>97</xdr:row>
      <xdr:rowOff>1</xdr:rowOff>
    </xdr:to>
    <xdr:sp macro="" textlink="">
      <xdr:nvSpPr>
        <xdr:cNvPr id="80" name="Rectángulo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7477125" y="26393776"/>
          <a:ext cx="1076325" cy="53340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/>
            <a:t>IMPORTANTE</a:t>
          </a:r>
        </a:p>
      </xdr:txBody>
    </xdr:sp>
    <xdr:clientData/>
  </xdr:twoCellAnchor>
  <xdr:twoCellAnchor>
    <xdr:from>
      <xdr:col>6</xdr:col>
      <xdr:colOff>266700</xdr:colOff>
      <xdr:row>95</xdr:row>
      <xdr:rowOff>200025</xdr:rowOff>
    </xdr:from>
    <xdr:to>
      <xdr:col>6</xdr:col>
      <xdr:colOff>695325</xdr:colOff>
      <xdr:row>95</xdr:row>
      <xdr:rowOff>457200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324350" y="25603200"/>
          <a:ext cx="42862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Info:</a:t>
          </a:r>
        </a:p>
      </xdr:txBody>
    </xdr:sp>
    <xdr:clientData/>
  </xdr:twoCellAnchor>
  <xdr:twoCellAnchor>
    <xdr:from>
      <xdr:col>4</xdr:col>
      <xdr:colOff>146519</xdr:colOff>
      <xdr:row>2</xdr:row>
      <xdr:rowOff>556094</xdr:rowOff>
    </xdr:from>
    <xdr:to>
      <xdr:col>4</xdr:col>
      <xdr:colOff>647700</xdr:colOff>
      <xdr:row>4</xdr:row>
      <xdr:rowOff>191623</xdr:rowOff>
    </xdr:to>
    <xdr:sp macro="" textlink="">
      <xdr:nvSpPr>
        <xdr:cNvPr id="75" name="Flecha: a la derecha con bandas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175219" y="1203794"/>
          <a:ext cx="501181" cy="597554"/>
        </a:xfrm>
        <a:prstGeom prst="stripedRightArrow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1590674</xdr:colOff>
      <xdr:row>1</xdr:row>
      <xdr:rowOff>200026</xdr:rowOff>
    </xdr:from>
    <xdr:to>
      <xdr:col>18</xdr:col>
      <xdr:colOff>2371724</xdr:colOff>
      <xdr:row>4</xdr:row>
      <xdr:rowOff>209551</xdr:rowOff>
    </xdr:to>
    <xdr:sp macro="" textlink="">
      <xdr:nvSpPr>
        <xdr:cNvPr id="77" name="Rectángulo: esquinas redondeadas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10982324" y="276226"/>
          <a:ext cx="3324225" cy="1543050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1600">
              <a:solidFill>
                <a:sysClr val="windowText" lastClr="000000"/>
              </a:solidFill>
            </a:rPr>
            <a:t>Hoja de</a:t>
          </a:r>
          <a:r>
            <a:rPr lang="es-ES" sz="1600" baseline="0">
              <a:solidFill>
                <a:sysClr val="windowText" lastClr="000000"/>
              </a:solidFill>
            </a:rPr>
            <a:t> i</a:t>
          </a:r>
          <a:r>
            <a:rPr lang="es-ES" sz="1600">
              <a:solidFill>
                <a:sysClr val="windowText" lastClr="000000"/>
              </a:solidFill>
            </a:rPr>
            <a:t>ntroducción</a:t>
          </a:r>
          <a:r>
            <a:rPr lang="es-ES" sz="1600" baseline="0">
              <a:solidFill>
                <a:sysClr val="windowText" lastClr="000000"/>
              </a:solidFill>
            </a:rPr>
            <a:t> de datos</a:t>
          </a:r>
          <a:r>
            <a:rPr lang="es-ES" sz="1600">
              <a:solidFill>
                <a:sysClr val="windowText" lastClr="000000"/>
              </a:solidFill>
            </a:rPr>
            <a:t>:</a:t>
          </a:r>
        </a:p>
        <a:p>
          <a:pPr algn="ctr"/>
          <a:endParaRPr lang="es-ES" sz="1800" baseline="0">
            <a:solidFill>
              <a:sysClr val="windowText" lastClr="000000"/>
            </a:solidFill>
          </a:endParaRPr>
        </a:p>
        <a:p>
          <a:pPr algn="ctr"/>
          <a:r>
            <a:rPr lang="es-ES" sz="1400" baseline="0">
              <a:solidFill>
                <a:srgbClr val="7030A0"/>
              </a:solidFill>
            </a:rPr>
            <a:t>Rellene sus datos (+mención)</a:t>
          </a:r>
        </a:p>
        <a:p>
          <a:pPr algn="ctr"/>
          <a:r>
            <a:rPr lang="es-ES" sz="1400" baseline="0">
              <a:solidFill>
                <a:srgbClr val="7030A0"/>
              </a:solidFill>
            </a:rPr>
            <a:t>y marque las asignaturas superadas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14</xdr:row>
      <xdr:rowOff>85729</xdr:rowOff>
    </xdr:from>
    <xdr:to>
      <xdr:col>16</xdr:col>
      <xdr:colOff>581025</xdr:colOff>
      <xdr:row>16</xdr:row>
      <xdr:rowOff>295281</xdr:rowOff>
    </xdr:to>
    <xdr:sp macro="" textlink="">
      <xdr:nvSpPr>
        <xdr:cNvPr id="5" name="Flecha: a la derecha con bandas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rot="5400000">
          <a:off x="5386387" y="3795717"/>
          <a:ext cx="838202" cy="542925"/>
        </a:xfrm>
        <a:prstGeom prst="stripedRightArrow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14</xdr:col>
      <xdr:colOff>762000</xdr:colOff>
      <xdr:row>13</xdr:row>
      <xdr:rowOff>47625</xdr:rowOff>
    </xdr:from>
    <xdr:to>
      <xdr:col>17</xdr:col>
      <xdr:colOff>66675</xdr:colOff>
      <xdr:row>13</xdr:row>
      <xdr:rowOff>542925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257925" y="3038475"/>
          <a:ext cx="771525" cy="495300"/>
        </a:xfrm>
        <a:prstGeom prst="ellipse">
          <a:avLst/>
        </a:prstGeom>
        <a:noFill/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22</xdr:col>
      <xdr:colOff>85725</xdr:colOff>
      <xdr:row>5</xdr:row>
      <xdr:rowOff>123825</xdr:rowOff>
    </xdr:from>
    <xdr:to>
      <xdr:col>32</xdr:col>
      <xdr:colOff>800100</xdr:colOff>
      <xdr:row>10</xdr:row>
      <xdr:rowOff>238125</xdr:rowOff>
    </xdr:to>
    <xdr:sp macro="" textlink="">
      <xdr:nvSpPr>
        <xdr:cNvPr id="4" name="Rectángulo: esquinas redondeadas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9029700" y="438150"/>
          <a:ext cx="4067175" cy="1981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>
              <a:solidFill>
                <a:schemeClr val="accent4"/>
              </a:solidFill>
            </a:rPr>
            <a:t>Hoja</a:t>
          </a:r>
          <a:r>
            <a:rPr lang="es-ES" sz="2000" baseline="0">
              <a:solidFill>
                <a:schemeClr val="accent4"/>
              </a:solidFill>
            </a:rPr>
            <a:t> de r</a:t>
          </a:r>
          <a:r>
            <a:rPr lang="es-ES" sz="2000">
              <a:solidFill>
                <a:schemeClr val="accent4"/>
              </a:solidFill>
            </a:rPr>
            <a:t>esultado</a:t>
          </a:r>
        </a:p>
        <a:p>
          <a:pPr algn="ctr"/>
          <a:r>
            <a:rPr lang="es-ES" sz="2000" baseline="0">
              <a:solidFill>
                <a:schemeClr val="accent4"/>
              </a:solidFill>
            </a:rPr>
            <a:t> de la adaptación</a:t>
          </a:r>
          <a:r>
            <a:rPr lang="es-ES" sz="1800" baseline="0"/>
            <a:t>.</a:t>
          </a:r>
        </a:p>
        <a:p>
          <a:pPr algn="ctr"/>
          <a:r>
            <a:rPr lang="es-ES" sz="1400" baseline="0"/>
            <a:t>(Esta hoja es sólo para imprimir en PDF)</a:t>
          </a:r>
        </a:p>
        <a:p>
          <a:pPr algn="l"/>
          <a:endParaRPr lang="es-ES" sz="1800" baseline="0"/>
        </a:p>
        <a:p>
          <a:pPr algn="l"/>
          <a:r>
            <a:rPr lang="es-ES" sz="1800" b="0" baseline="0">
              <a:solidFill>
                <a:srgbClr val="FFFF00"/>
              </a:solidFill>
            </a:rPr>
            <a:t>¡ Todos los datos </a:t>
          </a:r>
          <a:r>
            <a:rPr lang="es-ES" sz="1200" b="0" baseline="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(incluyendo Nombre y DNI)</a:t>
          </a:r>
          <a:r>
            <a:rPr lang="es-ES" sz="1100" b="0" baseline="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800" b="0" baseline="0">
              <a:solidFill>
                <a:srgbClr val="FFFF00"/>
              </a:solidFill>
            </a:rPr>
            <a:t>se rellenan en la pestaña Autobaremo !</a:t>
          </a:r>
          <a:endParaRPr lang="es-ES" sz="1800" b="0">
            <a:solidFill>
              <a:srgbClr val="FFFF00"/>
            </a:solidFill>
          </a:endParaRPr>
        </a:p>
      </xdr:txBody>
    </xdr:sp>
    <xdr:clientData/>
  </xdr:twoCellAnchor>
  <xdr:twoCellAnchor>
    <xdr:from>
      <xdr:col>22</xdr:col>
      <xdr:colOff>76200</xdr:colOff>
      <xdr:row>14</xdr:row>
      <xdr:rowOff>171449</xdr:rowOff>
    </xdr:from>
    <xdr:to>
      <xdr:col>32</xdr:col>
      <xdr:colOff>790575</xdr:colOff>
      <xdr:row>25</xdr:row>
      <xdr:rowOff>152399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8547847" y="3734920"/>
          <a:ext cx="4076140" cy="3432361"/>
          <a:chOff x="9020175" y="2552699"/>
          <a:chExt cx="4067175" cy="3438525"/>
        </a:xfrm>
      </xdr:grpSpPr>
      <xdr:sp macro="" textlink="">
        <xdr:nvSpPr>
          <xdr:cNvPr id="6" name="Rectángulo: esquinas redondeadas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9020175" y="2552699"/>
            <a:ext cx="4067175" cy="3438525"/>
          </a:xfrm>
          <a:prstGeom prst="roundRect">
            <a:avLst/>
          </a:prstGeom>
        </xdr:spPr>
        <xdr:style>
          <a:lnRef idx="0">
            <a:schemeClr val="accent4"/>
          </a:lnRef>
          <a:fillRef idx="3">
            <a:schemeClr val="accent4"/>
          </a:fillRef>
          <a:effectRef idx="3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ES" sz="1600">
                <a:solidFill>
                  <a:sysClr val="windowText" lastClr="000000"/>
                </a:solidFill>
              </a:rPr>
              <a:t>Leyenda:</a:t>
            </a:r>
          </a:p>
          <a:p>
            <a:pPr algn="ctr"/>
            <a:endParaRPr lang="es-ES" sz="1800" baseline="0">
              <a:solidFill>
                <a:sysClr val="windowText" lastClr="000000"/>
              </a:solidFill>
            </a:endParaRPr>
          </a:p>
          <a:p>
            <a:pPr algn="l"/>
            <a:r>
              <a:rPr lang="es-ES" sz="11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◾</a:t>
            </a:r>
            <a:r>
              <a:rPr lang="es-ES" sz="1400" baseline="0">
                <a:solidFill>
                  <a:sysClr val="windowText" lastClr="000000"/>
                </a:solidFill>
              </a:rPr>
              <a:t> Asignaturas en </a:t>
            </a:r>
            <a:r>
              <a:rPr lang="es-ES" sz="1400" b="1" i="1" baseline="0">
                <a:solidFill>
                  <a:srgbClr val="00B050"/>
                </a:solidFill>
              </a:rPr>
              <a:t>Verde</a:t>
            </a:r>
            <a:r>
              <a:rPr lang="es-ES" sz="1400" baseline="0">
                <a:solidFill>
                  <a:sysClr val="windowText" lastClr="000000"/>
                </a:solidFill>
              </a:rPr>
              <a:t>:  </a:t>
            </a:r>
            <a:r>
              <a:rPr lang="es-ES" sz="1400" baseline="0">
                <a:solidFill>
                  <a:schemeClr val="accent2">
                    <a:lumMod val="50000"/>
                  </a:schemeClr>
                </a:solidFill>
              </a:rPr>
              <a:t>Son adaptables</a:t>
            </a:r>
            <a:r>
              <a:rPr lang="es-ES" sz="1400" baseline="0">
                <a:solidFill>
                  <a:schemeClr val="accent2">
                    <a:lumMod val="75000"/>
                  </a:schemeClr>
                </a:solidFill>
              </a:rPr>
              <a:t>.</a:t>
            </a:r>
          </a:p>
          <a:p>
            <a:pPr algn="l"/>
            <a:endParaRPr lang="es-ES" sz="1400" baseline="0">
              <a:solidFill>
                <a:sysClr val="windowText" lastClr="000000"/>
              </a:solidFill>
            </a:endParaRPr>
          </a:p>
          <a:p>
            <a:pPr algn="l"/>
            <a:r>
              <a:rPr lang="es-ES" sz="1400" baseline="0">
                <a:solidFill>
                  <a:sysClr val="windowText" lastClr="000000"/>
                </a:solidFill>
              </a:rPr>
              <a:t>◾ Asignaturas </a:t>
            </a:r>
            <a:r>
              <a:rPr lang="es-ES" sz="1400" baseline="0">
                <a:solidFill>
                  <a:schemeClr val="bg1">
                    <a:lumMod val="65000"/>
                  </a:schemeClr>
                </a:solidFill>
              </a:rPr>
              <a:t>atenuadas</a:t>
            </a:r>
            <a:r>
              <a:rPr lang="es-ES" sz="1400" baseline="0">
                <a:solidFill>
                  <a:schemeClr val="tx1"/>
                </a:solidFill>
              </a:rPr>
              <a:t>: </a:t>
            </a:r>
            <a:r>
              <a:rPr lang="es-ES" sz="1400" baseline="0">
                <a:solidFill>
                  <a:schemeClr val="accent2">
                    <a:lumMod val="50000"/>
                  </a:schemeClr>
                </a:solidFill>
              </a:rPr>
              <a:t>NO son matriculables (por ser de 4º curso)</a:t>
            </a:r>
          </a:p>
          <a:p>
            <a:pPr algn="l"/>
            <a:endParaRPr lang="es-ES" sz="1400" baseline="0">
              <a:solidFill>
                <a:schemeClr val="accent2">
                  <a:lumMod val="50000"/>
                </a:schemeClr>
              </a:solidFill>
            </a:endParaRPr>
          </a:p>
          <a:p>
            <a:pPr algn="ctr"/>
            <a:r>
              <a:rPr lang="es-ES" sz="1400" baseline="0">
                <a:solidFill>
                  <a:srgbClr val="7030A0"/>
                </a:solidFill>
              </a:rPr>
              <a:t>Debajo de la tabla hay disponible </a:t>
            </a:r>
            <a:r>
              <a:rPr lang="es-ES" sz="1400" b="1" baseline="0">
                <a:solidFill>
                  <a:srgbClr val="7030A0"/>
                </a:solidFill>
              </a:rPr>
              <a:t>información automática</a:t>
            </a:r>
            <a:r>
              <a:rPr lang="es-ES" sz="1400" baseline="0">
                <a:solidFill>
                  <a:srgbClr val="7030A0"/>
                </a:solidFill>
              </a:rPr>
              <a:t> a modo de resumen (orientativo). Puede servirle de guía para orientarle en el futuro proceso de matrícula</a:t>
            </a:r>
          </a:p>
        </xdr:txBody>
      </xdr: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9134475" y="3190875"/>
            <a:ext cx="3810000" cy="1047750"/>
          </a:xfrm>
          <a:prstGeom prst="rect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S" sz="1100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7B3B76-8098-4E5A-9C58-200E5E988C8A}" name="Tabla1" displayName="Tabla1" ref="A9:M74" totalsRowShown="0" headerRowDxfId="75" dataDxfId="74" tableBorderDxfId="73">
  <sortState ref="A10:K73">
    <sortCondition ref="A9:A73"/>
  </sortState>
  <tableColumns count="13">
    <tableColumn id="9" xr3:uid="{8C34464F-9DCD-45B7-AA64-A74882AED5BB}" name="curso2010" dataDxfId="72"/>
    <tableColumn id="11" xr3:uid="{DCA582CC-891F-4A88-875E-11593EEF1B17}" name="OPT" dataDxfId="71"/>
    <tableColumn id="8" xr3:uid="{6EF31442-3A5F-4D7A-B04C-6B1DB9FCCD83}" name="TIPO" dataDxfId="70"/>
    <tableColumn id="10" xr3:uid="{7022B1B8-AB73-4299-8D33-EFEF3C483E2E}" name="marcar las superadas" dataDxfId="69"/>
    <tableColumn id="1" xr3:uid="{A042B010-3C54-4C11-B65A-F96FA7B80717}" name="ASIGNATURAS Plan 2010" dataDxfId="68"/>
    <tableColumn id="2" xr3:uid="{EADEF624-F95E-4EB8-A4E7-48B28BC4D429}" name="ECTS" dataDxfId="67"/>
    <tableColumn id="3" xr3:uid="{141F5EC5-F7A7-47B6-95A6-5D6E5670DBBD}" name="Curso" dataDxfId="66"/>
    <tableColumn id="4" xr3:uid="{CC35076A-D672-4A6F-AE38-93F5DFCF0FFF}" name="ASIGNATURAS Plan 2023" dataDxfId="65"/>
    <tableColumn id="5" xr3:uid="{EC549514-F1B9-45C2-B47C-F9E377388DBB}" name="ECTS " dataDxfId="64"/>
    <tableColumn id="6" xr3:uid="{84517A66-07FD-4D6B-8844-FF50CB246E82}" name="Curso " dataDxfId="63"/>
    <tableColumn id="7" xr3:uid="{584DB0A5-4B7E-4102-8403-DE83179C2584}" name="ADAPTACIÓN" dataDxfId="62">
      <calculatedColumnFormula>IF($D10,"Adaptable",   "--")</calculatedColumnFormula>
    </tableColumn>
    <tableColumn id="12" xr3:uid="{65BC37CA-16D7-4B60-AF2A-287D3115E8F4}" name="sem2" dataDxfId="61"/>
    <tableColumn id="13" xr3:uid="{6689BC90-84DA-45A0-B651-3A49B18E95EA}" name="sem3" dataDxfId="6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E04D89-F69D-4BF5-B30F-6161C2F5BD12}" name="Tabla2" displayName="Tabla2" ref="M3:Q7" totalsRowShown="0" headerRowDxfId="59" dataDxfId="58">
  <autoFilter ref="M3:Q7" xr:uid="{84E04D89-F69D-4BF5-B30F-6161C2F5BD12}"/>
  <tableColumns count="5">
    <tableColumn id="1" xr3:uid="{35772A37-22FF-41BE-A684-58A49C0679AF}" name="NUM" dataDxfId="57"/>
    <tableColumn id="2" xr3:uid="{E6476B00-3155-449F-BA5C-EC3937AC5918}" name="MENCION" dataDxfId="56"/>
    <tableColumn id="3" xr3:uid="{C4607404-CEA9-4910-A3F2-2BFAFC751C91}" name="SIGLA" dataDxfId="55"/>
    <tableColumn id="4" xr3:uid="{3FE9C645-0834-4ACF-B380-52C3DBC722CB}" name="OPT1" dataDxfId="54"/>
    <tableColumn id="5" xr3:uid="{9ED1B9E9-4D81-40C1-9766-66B7806672F1}" name="OP2" dataDxfId="5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A7264D7-7E6D-47FE-92DE-13815E181F1E}" name="Tabla257" displayName="Tabla257" ref="Y7:AC11" totalsRowShown="0" headerRowDxfId="23" dataDxfId="22">
  <autoFilter ref="Y7:AC11" xr:uid="{84E04D89-F69D-4BF5-B30F-6161C2F5BD12}"/>
  <tableColumns count="5">
    <tableColumn id="1" xr3:uid="{3350A0FD-6A2A-4FC1-9885-009763715320}" name="NUM" dataDxfId="21"/>
    <tableColumn id="2" xr3:uid="{65FC5EB5-425A-481C-BFF9-C09F9C3AA693}" name="MENCION" dataDxfId="20"/>
    <tableColumn id="3" xr3:uid="{D2BD56F6-6A90-4A1C-AECA-51B1E0490AB2}" name="SIGLA" dataDxfId="19"/>
    <tableColumn id="4" xr3:uid="{3C378395-C26B-4418-8E15-DB4E0E324296}" name="OPT1" dataDxfId="18"/>
    <tableColumn id="5" xr3:uid="{3F38928B-0A0D-48F0-8817-ACE276078321}" name="OP2" dataDxfId="1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BB77C1E-815B-4F10-B716-A4A6C2028EAC}" name="Tabla7" displayName="Tabla7" ref="B14:O83" totalsRowShown="0" headerRowDxfId="16" dataDxfId="15" tableBorderDxfId="14">
  <autoFilter ref="B14:O83" xr:uid="{1BB77C1E-815B-4F10-B716-A4A6C2028EAC}"/>
  <tableColumns count="14">
    <tableColumn id="1" xr3:uid="{D3BD5E74-6CDE-46CD-8D85-D35D8E000B48}" name="ASIGNATURAS Plan 2023" dataDxfId="13"/>
    <tableColumn id="2" xr3:uid="{52AA98FD-56F1-458E-A249-81A0A55A5B95}" name="ECTS " dataDxfId="12"/>
    <tableColumn id="3" xr3:uid="{CA073B80-A24A-4C3F-A2E6-3D4AAE1BACA0}" name="Curso " dataDxfId="11"/>
    <tableColumn id="4" xr3:uid="{412AD7F6-FA01-4746-9056-F5C9EE0C2A1A}" name="ADAPTACIÓN_x000a_POR…" dataDxfId="10"/>
    <tableColumn id="5" xr3:uid="{99AF1D3A-8F09-4611-9F49-E6007439FE5B}" name="curso2" dataDxfId="9"/>
    <tableColumn id="6" xr3:uid="{C80EC883-B1B4-4800-8E44-259D0E873A54}" name="OPT" dataDxfId="8"/>
    <tableColumn id="7" xr3:uid="{741379D6-6D15-478B-AD34-15B8475ED350}" name="TIPO" dataDxfId="7"/>
    <tableColumn id="8" xr3:uid="{67386BDE-00D1-416E-B86B-E60C1A204B94}" name="marcar las superadas" dataDxfId="6"/>
    <tableColumn id="9" xr3:uid="{B86783F4-F4B6-4528-9EC7-62575CCEFD51}" name="ASIGNATURAS Plan 2010" dataDxfId="5"/>
    <tableColumn id="10" xr3:uid="{6C46A7D6-6EB4-424E-8988-131E950B0B7A}" name="ECTS1" dataDxfId="4"/>
    <tableColumn id="13" xr3:uid="{14414E4E-A974-43EF-AB6C-59B7481B14C7}" name="adap2" dataDxfId="3"/>
    <tableColumn id="11" xr3:uid="{EB0A64B9-2E76-4F0D-B3F6-2D9BAE5F19E9}" name="Curso" dataDxfId="2"/>
    <tableColumn id="14" xr3:uid="{7179D383-99D0-4A29-9E5E-0272F745B726}" name="sem2023" dataDxfId="1">
      <calculatedColumnFormula>VLOOKUP(Tabla7[[#This Row],[ASIGNATURAS Plan 2023]],Autobaremo!$H$10:$L$73,5,FALSE)</calculatedColumnFormula>
    </tableColumn>
    <tableColumn id="12" xr3:uid="{DB0442F0-E28E-4D12-82D4-91B0E4109EF4}" name="nad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table" Target="../tables/table2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table" Target="../tables/table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34A93-F4AD-476D-A914-FCC5C68AA91F}">
  <sheetPr codeName="Hoja4">
    <tabColor rgb="FFFF0000"/>
  </sheetPr>
  <dimension ref="B2:K38"/>
  <sheetViews>
    <sheetView zoomScaleNormal="100" workbookViewId="0">
      <selection activeCell="L13" sqref="L13"/>
    </sheetView>
  </sheetViews>
  <sheetFormatPr baseColWidth="10" defaultRowHeight="15.75" x14ac:dyDescent="0.25"/>
  <cols>
    <col min="11" max="11" width="0" hidden="1" customWidth="1"/>
  </cols>
  <sheetData>
    <row r="2" spans="2:11" ht="16.5" thickBot="1" x14ac:dyDescent="0.3"/>
    <row r="3" spans="2:11" x14ac:dyDescent="0.25">
      <c r="B3" s="412" t="s">
        <v>183</v>
      </c>
      <c r="C3" s="69" t="s">
        <v>137</v>
      </c>
      <c r="D3" s="70"/>
      <c r="E3" s="70"/>
      <c r="F3" s="70"/>
      <c r="G3" s="67"/>
      <c r="H3" s="67"/>
      <c r="I3" s="67"/>
      <c r="J3" s="67"/>
      <c r="K3" s="419" t="s">
        <v>201</v>
      </c>
    </row>
    <row r="4" spans="2:11" x14ac:dyDescent="0.25">
      <c r="B4" s="413"/>
      <c r="C4" s="67"/>
      <c r="D4" s="67"/>
      <c r="E4" s="67"/>
      <c r="F4" s="67"/>
      <c r="G4" s="67"/>
      <c r="H4" s="67"/>
      <c r="I4" s="67"/>
      <c r="J4" s="67"/>
      <c r="K4" s="413"/>
    </row>
    <row r="5" spans="2:11" x14ac:dyDescent="0.25">
      <c r="B5" s="413"/>
      <c r="C5" s="68" t="s">
        <v>118</v>
      </c>
      <c r="D5" s="67" t="s">
        <v>143</v>
      </c>
      <c r="E5" s="67"/>
      <c r="F5" s="67"/>
      <c r="G5" s="67"/>
      <c r="H5" s="67"/>
      <c r="I5" s="67"/>
      <c r="J5" s="67"/>
      <c r="K5" s="413"/>
    </row>
    <row r="6" spans="2:11" x14ac:dyDescent="0.25">
      <c r="B6" s="413"/>
      <c r="C6" s="68"/>
      <c r="D6" s="67"/>
      <c r="E6" s="67"/>
      <c r="F6" s="67"/>
      <c r="G6" s="67"/>
      <c r="H6" s="67"/>
      <c r="I6" s="67"/>
      <c r="J6" s="67"/>
      <c r="K6" s="413"/>
    </row>
    <row r="7" spans="2:11" x14ac:dyDescent="0.25">
      <c r="B7" s="413"/>
      <c r="C7" s="68" t="s">
        <v>118</v>
      </c>
      <c r="D7" s="67" t="s">
        <v>139</v>
      </c>
      <c r="E7" s="67"/>
      <c r="F7" s="67"/>
      <c r="G7" s="67"/>
      <c r="H7" s="67"/>
      <c r="I7" s="67"/>
      <c r="J7" s="67"/>
      <c r="K7" s="413"/>
    </row>
    <row r="8" spans="2:11" x14ac:dyDescent="0.25">
      <c r="B8" s="413"/>
      <c r="C8" s="69"/>
      <c r="D8" s="67"/>
      <c r="E8" s="67"/>
      <c r="F8" s="67"/>
      <c r="G8" s="67"/>
      <c r="H8" s="67"/>
      <c r="I8" s="67"/>
      <c r="J8" s="67"/>
      <c r="K8" s="413"/>
    </row>
    <row r="9" spans="2:11" ht="16.5" thickBot="1" x14ac:dyDescent="0.3">
      <c r="B9" s="414"/>
      <c r="C9" s="68" t="s">
        <v>118</v>
      </c>
      <c r="D9" s="67" t="s">
        <v>138</v>
      </c>
      <c r="E9" s="67"/>
      <c r="F9" s="67"/>
      <c r="G9" s="67"/>
      <c r="H9" s="67"/>
      <c r="I9" s="67"/>
      <c r="J9" s="67"/>
      <c r="K9" s="414"/>
    </row>
    <row r="10" spans="2:11" ht="16.5" thickBot="1" x14ac:dyDescent="0.3"/>
    <row r="11" spans="2:11" ht="15.75" customHeight="1" x14ac:dyDescent="0.25">
      <c r="B11" s="415" t="s">
        <v>140</v>
      </c>
      <c r="C11" s="64" t="s">
        <v>146</v>
      </c>
      <c r="D11" s="62"/>
      <c r="E11" s="62"/>
      <c r="F11" s="62"/>
      <c r="G11" s="62"/>
      <c r="H11" s="62"/>
      <c r="I11" s="62"/>
      <c r="J11" s="62"/>
      <c r="K11" s="415" t="s">
        <v>202</v>
      </c>
    </row>
    <row r="12" spans="2:11" x14ac:dyDescent="0.25">
      <c r="B12" s="416"/>
      <c r="C12" s="62"/>
      <c r="D12" s="62"/>
      <c r="E12" s="62"/>
      <c r="F12" s="62"/>
      <c r="G12" s="62"/>
      <c r="H12" s="62"/>
      <c r="I12" s="62"/>
      <c r="J12" s="62"/>
      <c r="K12" s="416"/>
    </row>
    <row r="13" spans="2:11" x14ac:dyDescent="0.25">
      <c r="B13" s="416"/>
      <c r="C13" s="66" t="s">
        <v>118</v>
      </c>
      <c r="D13" s="62" t="s">
        <v>144</v>
      </c>
      <c r="E13" s="62"/>
      <c r="F13" s="62"/>
      <c r="G13" s="62"/>
      <c r="H13" s="62"/>
      <c r="I13" s="62"/>
      <c r="J13" s="62"/>
      <c r="K13" s="416"/>
    </row>
    <row r="14" spans="2:11" x14ac:dyDescent="0.25">
      <c r="B14" s="416"/>
      <c r="C14" s="62"/>
      <c r="D14" s="62" t="s">
        <v>145</v>
      </c>
      <c r="E14" s="62"/>
      <c r="F14" s="62"/>
      <c r="G14" s="62"/>
      <c r="H14" s="62"/>
      <c r="I14" s="62"/>
      <c r="J14" s="62"/>
      <c r="K14" s="416"/>
    </row>
    <row r="15" spans="2:11" x14ac:dyDescent="0.25">
      <c r="B15" s="416"/>
      <c r="C15" s="62"/>
      <c r="D15" s="62" t="s">
        <v>119</v>
      </c>
      <c r="E15" s="62"/>
      <c r="F15" s="62"/>
      <c r="G15" s="62"/>
      <c r="H15" s="62"/>
      <c r="I15" s="62"/>
      <c r="J15" s="62"/>
      <c r="K15" s="416"/>
    </row>
    <row r="16" spans="2:11" x14ac:dyDescent="0.25">
      <c r="B16" s="416"/>
      <c r="C16" s="62"/>
      <c r="D16" s="62"/>
      <c r="E16" s="62"/>
      <c r="F16" s="62"/>
      <c r="G16" s="62"/>
      <c r="H16" s="62"/>
      <c r="I16" s="62"/>
      <c r="J16" s="62"/>
      <c r="K16" s="416"/>
    </row>
    <row r="17" spans="2:11" x14ac:dyDescent="0.25">
      <c r="B17" s="416"/>
      <c r="C17" s="66" t="s">
        <v>118</v>
      </c>
      <c r="D17" s="62" t="s">
        <v>159</v>
      </c>
      <c r="E17" s="62"/>
      <c r="F17" s="62"/>
      <c r="G17" s="62"/>
      <c r="H17" s="62"/>
      <c r="I17" s="62"/>
      <c r="J17" s="62"/>
      <c r="K17" s="416"/>
    </row>
    <row r="18" spans="2:11" x14ac:dyDescent="0.25">
      <c r="B18" s="416"/>
      <c r="C18" s="62"/>
      <c r="D18" s="62"/>
      <c r="E18" s="62"/>
      <c r="F18" s="62"/>
      <c r="G18" s="62"/>
      <c r="H18" s="62"/>
      <c r="I18" s="62"/>
      <c r="J18" s="62"/>
      <c r="K18" s="416"/>
    </row>
    <row r="19" spans="2:11" ht="16.5" thickBot="1" x14ac:dyDescent="0.3">
      <c r="B19" s="417"/>
      <c r="C19" s="62"/>
      <c r="D19" s="62"/>
      <c r="E19" s="62"/>
      <c r="F19" s="62"/>
      <c r="G19" s="62"/>
      <c r="H19" s="62"/>
      <c r="I19" s="62"/>
      <c r="J19" s="62"/>
      <c r="K19" s="417"/>
    </row>
    <row r="20" spans="2:11" ht="16.5" thickBot="1" x14ac:dyDescent="0.3"/>
    <row r="21" spans="2:11" x14ac:dyDescent="0.25">
      <c r="B21" s="415" t="s">
        <v>160</v>
      </c>
      <c r="C21" s="63"/>
      <c r="D21" s="63"/>
      <c r="E21" s="63"/>
      <c r="F21" s="63"/>
      <c r="G21" s="63"/>
      <c r="H21" s="63"/>
      <c r="I21" s="63"/>
      <c r="J21" s="63"/>
    </row>
    <row r="22" spans="2:11" x14ac:dyDescent="0.25">
      <c r="B22" s="418"/>
      <c r="C22" s="63" t="s">
        <v>120</v>
      </c>
      <c r="D22" s="63"/>
      <c r="E22" s="63"/>
      <c r="F22" s="63"/>
      <c r="G22" s="63"/>
      <c r="H22" s="63"/>
      <c r="I22" s="63"/>
      <c r="J22" s="63"/>
    </row>
    <row r="23" spans="2:11" x14ac:dyDescent="0.25">
      <c r="B23" s="416"/>
      <c r="C23" s="63"/>
      <c r="D23" s="63"/>
      <c r="E23" s="63"/>
      <c r="F23" s="63"/>
      <c r="G23" s="63"/>
      <c r="H23" s="63"/>
      <c r="I23" s="63"/>
      <c r="J23" s="63"/>
    </row>
    <row r="24" spans="2:11" x14ac:dyDescent="0.25">
      <c r="B24" s="416"/>
      <c r="C24" s="71" t="s">
        <v>121</v>
      </c>
      <c r="D24" s="63" t="s">
        <v>163</v>
      </c>
      <c r="E24" s="63"/>
      <c r="F24" s="63"/>
      <c r="G24" s="63"/>
      <c r="H24" s="63"/>
      <c r="I24" s="63"/>
      <c r="J24" s="63"/>
    </row>
    <row r="25" spans="2:11" x14ac:dyDescent="0.25">
      <c r="B25" s="416"/>
      <c r="C25" s="71"/>
      <c r="D25" s="293" t="s">
        <v>161</v>
      </c>
      <c r="E25" s="294"/>
      <c r="F25" s="294"/>
      <c r="G25" s="294"/>
      <c r="H25" s="295"/>
      <c r="I25" s="63"/>
      <c r="J25" s="63"/>
    </row>
    <row r="26" spans="2:11" x14ac:dyDescent="0.25">
      <c r="B26" s="416"/>
      <c r="C26" s="71"/>
      <c r="D26" s="296" t="s">
        <v>162</v>
      </c>
      <c r="E26" s="63"/>
      <c r="F26" s="63"/>
      <c r="G26" s="63"/>
      <c r="H26" s="297"/>
      <c r="I26" s="63"/>
      <c r="J26" s="63"/>
    </row>
    <row r="27" spans="2:11" x14ac:dyDescent="0.25">
      <c r="B27" s="416"/>
      <c r="C27" s="71"/>
      <c r="D27" s="298"/>
      <c r="E27" s="299"/>
      <c r="F27" s="299"/>
      <c r="G27" s="299"/>
      <c r="H27" s="300"/>
      <c r="I27" s="63"/>
      <c r="J27" s="63"/>
    </row>
    <row r="28" spans="2:11" x14ac:dyDescent="0.25">
      <c r="B28" s="416"/>
      <c r="C28" s="71" t="s">
        <v>122</v>
      </c>
      <c r="D28" s="63" t="s">
        <v>196</v>
      </c>
      <c r="E28" s="63"/>
      <c r="F28" s="63"/>
      <c r="G28" s="63"/>
      <c r="H28" s="63"/>
      <c r="I28" s="63"/>
      <c r="J28" s="63"/>
    </row>
    <row r="29" spans="2:11" x14ac:dyDescent="0.25">
      <c r="B29" s="416"/>
      <c r="C29" s="71"/>
      <c r="D29" s="63"/>
      <c r="E29" s="63"/>
      <c r="F29" s="63"/>
      <c r="G29" s="63"/>
      <c r="H29" s="63"/>
      <c r="I29" s="63"/>
      <c r="J29" s="63"/>
    </row>
    <row r="30" spans="2:11" x14ac:dyDescent="0.25">
      <c r="B30" s="416"/>
      <c r="C30" s="71" t="s">
        <v>141</v>
      </c>
      <c r="D30" s="63" t="s">
        <v>166</v>
      </c>
      <c r="E30" s="63"/>
      <c r="F30" s="63"/>
      <c r="G30" s="63"/>
      <c r="H30" s="63"/>
      <c r="I30" s="63"/>
      <c r="J30" s="63"/>
    </row>
    <row r="31" spans="2:11" x14ac:dyDescent="0.25">
      <c r="B31" s="416"/>
      <c r="C31" s="71"/>
      <c r="D31" s="63"/>
      <c r="E31" s="63"/>
      <c r="F31" s="63"/>
      <c r="G31" s="63"/>
      <c r="H31" s="63"/>
      <c r="I31" s="63"/>
      <c r="J31" s="63"/>
    </row>
    <row r="32" spans="2:11" x14ac:dyDescent="0.25">
      <c r="B32" s="416"/>
      <c r="C32" s="71"/>
      <c r="D32" s="155" t="s">
        <v>142</v>
      </c>
      <c r="E32" s="63"/>
      <c r="F32" s="63"/>
      <c r="G32" s="63"/>
      <c r="H32" s="63"/>
      <c r="I32" s="63"/>
      <c r="J32" s="63"/>
    </row>
    <row r="33" spans="2:10" x14ac:dyDescent="0.25">
      <c r="B33" s="416"/>
      <c r="C33" s="71"/>
      <c r="D33" s="63" t="s">
        <v>167</v>
      </c>
      <c r="E33" s="63"/>
      <c r="F33" s="63"/>
      <c r="G33" s="63"/>
      <c r="H33" s="63"/>
      <c r="I33" s="63"/>
      <c r="J33" s="63"/>
    </row>
    <row r="34" spans="2:10" x14ac:dyDescent="0.25">
      <c r="B34" s="416"/>
      <c r="C34" s="71"/>
      <c r="D34" s="63" t="s">
        <v>168</v>
      </c>
      <c r="E34" s="63"/>
      <c r="F34" s="63"/>
      <c r="G34" s="63"/>
      <c r="H34" s="63"/>
      <c r="I34" s="63"/>
      <c r="J34" s="63"/>
    </row>
    <row r="35" spans="2:10" x14ac:dyDescent="0.25">
      <c r="B35" s="416"/>
      <c r="C35" s="71"/>
      <c r="D35" s="63"/>
      <c r="E35" s="63"/>
      <c r="F35" s="63"/>
      <c r="G35" s="63"/>
      <c r="H35" s="63"/>
      <c r="I35" s="63"/>
      <c r="J35" s="63"/>
    </row>
    <row r="36" spans="2:10" x14ac:dyDescent="0.25">
      <c r="B36" s="416"/>
      <c r="C36" s="71"/>
      <c r="D36" s="63" t="s">
        <v>164</v>
      </c>
      <c r="E36" s="63"/>
      <c r="F36" s="63"/>
      <c r="G36" s="63"/>
      <c r="H36" s="63"/>
      <c r="I36" s="63"/>
      <c r="J36" s="63"/>
    </row>
    <row r="37" spans="2:10" x14ac:dyDescent="0.25">
      <c r="B37" s="416"/>
      <c r="C37" s="71"/>
      <c r="D37" s="200" t="s">
        <v>165</v>
      </c>
      <c r="E37" s="63"/>
      <c r="F37" s="63"/>
      <c r="G37" s="63"/>
      <c r="H37" s="63"/>
      <c r="I37" s="63"/>
      <c r="J37" s="63"/>
    </row>
    <row r="38" spans="2:10" ht="16.5" thickBot="1" x14ac:dyDescent="0.3">
      <c r="B38" s="417"/>
      <c r="C38" s="63"/>
      <c r="D38" s="63"/>
      <c r="E38" s="63"/>
      <c r="F38" s="63"/>
      <c r="G38" s="63"/>
      <c r="H38" s="63"/>
      <c r="I38" s="63"/>
      <c r="J38" s="63"/>
    </row>
  </sheetData>
  <sheetProtection sheet="1" objects="1" scenarios="1"/>
  <mergeCells count="5">
    <mergeCell ref="B3:B9"/>
    <mergeCell ref="B11:B19"/>
    <mergeCell ref="B21:B38"/>
    <mergeCell ref="K3:K9"/>
    <mergeCell ref="K11:K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53ACA-7E0D-5F4A-96F3-BBC092694043}">
  <sheetPr codeName="Hoja1">
    <tabColor rgb="FF00B050"/>
    <pageSetUpPr fitToPage="1"/>
  </sheetPr>
  <dimension ref="A1:AD105"/>
  <sheetViews>
    <sheetView tabSelected="1" topLeftCell="D1" zoomScaleNormal="100" workbookViewId="0">
      <selection activeCell="F4" sqref="F4:G4"/>
    </sheetView>
  </sheetViews>
  <sheetFormatPr baseColWidth="10" defaultRowHeight="15.75" x14ac:dyDescent="0.25"/>
  <cols>
    <col min="1" max="1" width="11.25" style="363" hidden="1" customWidth="1"/>
    <col min="2" max="2" width="8.125" style="363" hidden="1" customWidth="1"/>
    <col min="3" max="3" width="5" style="363" hidden="1" customWidth="1"/>
    <col min="4" max="4" width="13.5" style="406" customWidth="1"/>
    <col min="5" max="5" width="28.375" style="1" customWidth="1"/>
    <col min="6" max="6" width="11.375" style="1" customWidth="1"/>
    <col min="7" max="7" width="11" style="1"/>
    <col min="8" max="8" width="39.375" style="1" customWidth="1"/>
    <col min="9" max="9" width="10.625" style="1" customWidth="1"/>
    <col min="10" max="10" width="9" style="1" customWidth="1"/>
    <col min="11" max="11" width="22.375" style="1" customWidth="1"/>
    <col min="12" max="12" width="11" style="1" hidden="1" customWidth="1"/>
    <col min="13" max="13" width="11.25" style="1" hidden="1" customWidth="1"/>
    <col min="14" max="14" width="34.5" style="1" hidden="1" customWidth="1"/>
    <col min="15" max="17" width="11" style="1" hidden="1" customWidth="1"/>
    <col min="18" max="18" width="11" style="1" customWidth="1"/>
    <col min="19" max="19" width="58.125" style="1" customWidth="1"/>
    <col min="20" max="25" width="11" style="1" customWidth="1"/>
    <col min="26" max="26" width="6.5" style="1" customWidth="1"/>
    <col min="27" max="30" width="11" style="1"/>
    <col min="31" max="16384" width="11" style="363"/>
  </cols>
  <sheetData>
    <row r="1" spans="1:30" ht="6" customHeight="1" thickBot="1" x14ac:dyDescent="0.3"/>
    <row r="2" spans="1:30" ht="45" customHeight="1" thickBot="1" x14ac:dyDescent="0.3">
      <c r="D2" s="291" t="s">
        <v>184</v>
      </c>
      <c r="E2" s="432" t="s">
        <v>148</v>
      </c>
      <c r="F2" s="433"/>
      <c r="G2" s="433"/>
      <c r="H2" s="433"/>
      <c r="I2" s="433"/>
      <c r="J2" s="433"/>
      <c r="K2" s="434"/>
    </row>
    <row r="3" spans="1:30" ht="54" customHeight="1" thickBot="1" x14ac:dyDescent="0.3">
      <c r="E3" s="437" t="s">
        <v>92</v>
      </c>
      <c r="F3" s="437"/>
      <c r="G3" s="437"/>
      <c r="H3" s="437"/>
      <c r="I3" s="437"/>
      <c r="J3" s="437"/>
      <c r="K3" s="437"/>
      <c r="L3" s="2">
        <f>SUMIFS(Tabla1[[ECTS ]],Tabla1[ASIGNATURAS Plan 2023],"Optatividad",Tabla1[marcar las superadas],"VERDADERO")</f>
        <v>0</v>
      </c>
      <c r="M3" s="1" t="s">
        <v>99</v>
      </c>
      <c r="N3" s="1" t="s">
        <v>100</v>
      </c>
      <c r="O3" s="1" t="s">
        <v>101</v>
      </c>
      <c r="P3" s="1" t="s">
        <v>105</v>
      </c>
      <c r="Q3" s="1" t="s">
        <v>106</v>
      </c>
      <c r="R3" s="292"/>
      <c r="AD3" s="363"/>
    </row>
    <row r="4" spans="1:30" ht="21.75" thickBot="1" x14ac:dyDescent="0.4">
      <c r="E4" s="3" t="s">
        <v>85</v>
      </c>
      <c r="F4" s="444"/>
      <c r="G4" s="445"/>
      <c r="H4" s="3" t="s">
        <v>147</v>
      </c>
      <c r="I4" s="444"/>
      <c r="J4" s="446"/>
      <c r="K4" s="445"/>
      <c r="M4" s="1">
        <v>1</v>
      </c>
      <c r="N4" s="1" t="s">
        <v>45</v>
      </c>
      <c r="O4" s="1" t="s">
        <v>95</v>
      </c>
      <c r="P4" s="1" t="s">
        <v>96</v>
      </c>
      <c r="Q4" s="1" t="s">
        <v>97</v>
      </c>
      <c r="R4" s="398"/>
      <c r="AD4" s="363"/>
    </row>
    <row r="5" spans="1:30" ht="21" x14ac:dyDescent="0.35">
      <c r="E5" s="265" t="s">
        <v>136</v>
      </c>
      <c r="F5" s="512">
        <v>4</v>
      </c>
      <c r="G5" s="512"/>
      <c r="H5" s="512"/>
      <c r="I5" s="65"/>
      <c r="J5" s="65"/>
      <c r="K5" s="65"/>
      <c r="L5" s="406"/>
      <c r="M5" s="406">
        <v>2</v>
      </c>
      <c r="N5" s="406" t="s">
        <v>55</v>
      </c>
      <c r="O5" s="406" t="s">
        <v>96</v>
      </c>
      <c r="P5" s="406" t="s">
        <v>95</v>
      </c>
      <c r="Q5" s="406" t="s">
        <v>97</v>
      </c>
      <c r="R5" s="513"/>
      <c r="AD5" s="363"/>
    </row>
    <row r="6" spans="1:30" ht="24" customHeight="1" x14ac:dyDescent="0.25">
      <c r="E6" s="441" t="s">
        <v>84</v>
      </c>
      <c r="F6" s="442"/>
      <c r="G6" s="442"/>
      <c r="H6" s="442"/>
      <c r="I6" s="442"/>
      <c r="J6" s="442"/>
      <c r="K6" s="443"/>
      <c r="M6" s="1">
        <v>3</v>
      </c>
      <c r="N6" s="1" t="s">
        <v>134</v>
      </c>
      <c r="O6" s="1" t="s">
        <v>97</v>
      </c>
      <c r="P6" s="1" t="s">
        <v>95</v>
      </c>
      <c r="Q6" s="1" t="s">
        <v>96</v>
      </c>
      <c r="AD6" s="363"/>
    </row>
    <row r="7" spans="1:30" ht="19.899999999999999" customHeight="1" x14ac:dyDescent="0.25">
      <c r="E7" s="438" t="s">
        <v>1</v>
      </c>
      <c r="F7" s="438"/>
      <c r="G7" s="438"/>
      <c r="H7" s="338" t="s">
        <v>0</v>
      </c>
      <c r="I7" s="266" t="str">
        <f>IF(Adaptación!K48&lt;&gt;0,-Adaptación!K48,"")</f>
        <v/>
      </c>
      <c r="J7" s="267" t="str">
        <f>IF(I7&lt;&gt;"","(ver incompatibidades en la Hoja Adaptación)","")</f>
        <v/>
      </c>
      <c r="K7" s="268"/>
      <c r="M7" s="1">
        <v>4</v>
      </c>
      <c r="R7" s="399"/>
      <c r="AD7" s="363"/>
    </row>
    <row r="8" spans="1:30" ht="19.899999999999999" customHeight="1" thickBot="1" x14ac:dyDescent="0.3">
      <c r="E8" s="4" t="s">
        <v>82</v>
      </c>
      <c r="F8" s="5">
        <f>SUMIFS(Tabla1[ECTS],Tabla1[marcar las superadas],"VERDADERO")</f>
        <v>0</v>
      </c>
      <c r="G8" s="6"/>
      <c r="H8" s="7" t="s">
        <v>83</v>
      </c>
      <c r="I8" s="5">
        <f>SUMIFS(Tabla1[[ECTS ]],Tabla1[marcar las superadas],"verdadero")</f>
        <v>0</v>
      </c>
      <c r="J8" s="439" t="str">
        <f>CONCATENATE("(Que incluyen "&amp;L3&amp;" crs. de Optatividad)")</f>
        <v>(Que incluyen 0 crs. de Optatividad)</v>
      </c>
      <c r="K8" s="440"/>
      <c r="S8" s="399"/>
    </row>
    <row r="9" spans="1:30" ht="45" customHeight="1" thickBot="1" x14ac:dyDescent="0.3">
      <c r="A9" s="400" t="s">
        <v>129</v>
      </c>
      <c r="B9" s="401" t="s">
        <v>107</v>
      </c>
      <c r="C9" s="402" t="s">
        <v>98</v>
      </c>
      <c r="D9" s="362" t="s">
        <v>77</v>
      </c>
      <c r="E9" s="262" t="s">
        <v>75</v>
      </c>
      <c r="F9" s="262" t="s">
        <v>2</v>
      </c>
      <c r="G9" s="262" t="s">
        <v>73</v>
      </c>
      <c r="H9" s="263" t="s">
        <v>76</v>
      </c>
      <c r="I9" s="263" t="s">
        <v>79</v>
      </c>
      <c r="J9" s="263" t="s">
        <v>80</v>
      </c>
      <c r="K9" s="264" t="s">
        <v>78</v>
      </c>
      <c r="L9" s="6" t="s">
        <v>155</v>
      </c>
      <c r="M9" s="311" t="s">
        <v>192</v>
      </c>
    </row>
    <row r="10" spans="1:30" ht="24.95" customHeight="1" x14ac:dyDescent="0.25">
      <c r="A10" s="370">
        <v>1</v>
      </c>
      <c r="B10" s="370"/>
      <c r="C10" s="403" t="s">
        <v>93</v>
      </c>
      <c r="D10" s="9" t="b">
        <v>0</v>
      </c>
      <c r="E10" s="10" t="s">
        <v>4</v>
      </c>
      <c r="F10" s="11">
        <v>6</v>
      </c>
      <c r="G10" s="165">
        <v>1</v>
      </c>
      <c r="H10" s="12" t="s">
        <v>3</v>
      </c>
      <c r="I10" s="11">
        <v>6</v>
      </c>
      <c r="J10" s="13">
        <v>1</v>
      </c>
      <c r="K10" s="253" t="str">
        <f t="shared" ref="K10:K41" si="0">IF($D10,"Adaptable",   "--")</f>
        <v>--</v>
      </c>
      <c r="L10" s="52">
        <v>1</v>
      </c>
      <c r="M10" s="52" t="s">
        <v>193</v>
      </c>
    </row>
    <row r="11" spans="1:30" ht="24.95" customHeight="1" x14ac:dyDescent="0.25">
      <c r="A11" s="370">
        <v>1</v>
      </c>
      <c r="B11" s="370"/>
      <c r="C11" s="370" t="s">
        <v>93</v>
      </c>
      <c r="D11" s="9" t="b">
        <v>0</v>
      </c>
      <c r="E11" s="14" t="s">
        <v>6</v>
      </c>
      <c r="F11" s="15">
        <v>9</v>
      </c>
      <c r="G11" s="166">
        <v>1</v>
      </c>
      <c r="H11" s="16" t="s">
        <v>5</v>
      </c>
      <c r="I11" s="15">
        <v>6</v>
      </c>
      <c r="J11" s="17">
        <v>1</v>
      </c>
      <c r="K11" s="250" t="str">
        <f t="shared" si="0"/>
        <v>--</v>
      </c>
      <c r="L11" s="52">
        <v>1</v>
      </c>
      <c r="M11" s="52" t="s">
        <v>193</v>
      </c>
    </row>
    <row r="12" spans="1:30" ht="24.95" customHeight="1" x14ac:dyDescent="0.25">
      <c r="A12" s="370"/>
      <c r="B12" s="370"/>
      <c r="C12" s="370" t="s">
        <v>93</v>
      </c>
      <c r="D12" s="9" t="b">
        <f>D11</f>
        <v>0</v>
      </c>
      <c r="E12" s="14"/>
      <c r="F12" s="15"/>
      <c r="G12" s="166"/>
      <c r="H12" s="16" t="s">
        <v>7</v>
      </c>
      <c r="I12" s="18">
        <v>4.5</v>
      </c>
      <c r="J12" s="19">
        <v>2</v>
      </c>
      <c r="K12" s="250" t="str">
        <f t="shared" si="0"/>
        <v>--</v>
      </c>
      <c r="L12" s="52">
        <v>1</v>
      </c>
      <c r="M12" s="52" t="s">
        <v>193</v>
      </c>
    </row>
    <row r="13" spans="1:30" ht="24.95" customHeight="1" x14ac:dyDescent="0.25">
      <c r="A13" s="370">
        <v>1</v>
      </c>
      <c r="B13" s="370"/>
      <c r="C13" s="370" t="s">
        <v>93</v>
      </c>
      <c r="D13" s="9" t="b">
        <v>0</v>
      </c>
      <c r="E13" s="14" t="s">
        <v>8</v>
      </c>
      <c r="F13" s="15">
        <v>6</v>
      </c>
      <c r="G13" s="166">
        <v>1</v>
      </c>
      <c r="H13" s="16" t="s">
        <v>8</v>
      </c>
      <c r="I13" s="15">
        <v>6</v>
      </c>
      <c r="J13" s="17">
        <v>1</v>
      </c>
      <c r="K13" s="250" t="str">
        <f t="shared" si="0"/>
        <v>--</v>
      </c>
      <c r="L13" s="52">
        <v>2</v>
      </c>
      <c r="M13" s="52" t="s">
        <v>193</v>
      </c>
    </row>
    <row r="14" spans="1:30" ht="24.95" customHeight="1" x14ac:dyDescent="0.25">
      <c r="A14" s="370">
        <v>1</v>
      </c>
      <c r="B14" s="370"/>
      <c r="C14" s="370" t="s">
        <v>93</v>
      </c>
      <c r="D14" s="9" t="b">
        <v>0</v>
      </c>
      <c r="E14" s="14" t="s">
        <v>10</v>
      </c>
      <c r="F14" s="15">
        <v>6</v>
      </c>
      <c r="G14" s="166">
        <v>1</v>
      </c>
      <c r="H14" s="16" t="s">
        <v>9</v>
      </c>
      <c r="I14" s="15">
        <v>6</v>
      </c>
      <c r="J14" s="17">
        <v>1</v>
      </c>
      <c r="K14" s="250" t="str">
        <f t="shared" si="0"/>
        <v>--</v>
      </c>
      <c r="L14" s="52">
        <v>1</v>
      </c>
      <c r="M14" s="52" t="s">
        <v>193</v>
      </c>
    </row>
    <row r="15" spans="1:30" ht="24.95" customHeight="1" x14ac:dyDescent="0.25">
      <c r="A15" s="370">
        <v>1</v>
      </c>
      <c r="B15" s="370"/>
      <c r="C15" s="370" t="s">
        <v>93</v>
      </c>
      <c r="D15" s="9" t="b">
        <v>0</v>
      </c>
      <c r="E15" s="14" t="s">
        <v>11</v>
      </c>
      <c r="F15" s="15">
        <v>6</v>
      </c>
      <c r="G15" s="166">
        <v>1</v>
      </c>
      <c r="H15" s="16" t="s">
        <v>11</v>
      </c>
      <c r="I15" s="15">
        <v>6</v>
      </c>
      <c r="J15" s="17">
        <v>1</v>
      </c>
      <c r="K15" s="250" t="str">
        <f t="shared" si="0"/>
        <v>--</v>
      </c>
      <c r="L15" s="52">
        <v>1</v>
      </c>
      <c r="M15" s="52" t="s">
        <v>193</v>
      </c>
    </row>
    <row r="16" spans="1:30" ht="24.95" customHeight="1" x14ac:dyDescent="0.25">
      <c r="A16" s="370">
        <v>1</v>
      </c>
      <c r="B16" s="370"/>
      <c r="C16" s="370" t="s">
        <v>93</v>
      </c>
      <c r="D16" s="9" t="b">
        <v>0</v>
      </c>
      <c r="E16" s="14" t="s">
        <v>12</v>
      </c>
      <c r="F16" s="15">
        <v>6</v>
      </c>
      <c r="G16" s="166">
        <v>1</v>
      </c>
      <c r="H16" s="16" t="s">
        <v>12</v>
      </c>
      <c r="I16" s="15">
        <v>6</v>
      </c>
      <c r="J16" s="17">
        <v>1</v>
      </c>
      <c r="K16" s="250" t="str">
        <f t="shared" si="0"/>
        <v>--</v>
      </c>
      <c r="L16" s="52">
        <v>2</v>
      </c>
      <c r="M16" s="52" t="s">
        <v>193</v>
      </c>
    </row>
    <row r="17" spans="1:13" ht="24.95" customHeight="1" x14ac:dyDescent="0.25">
      <c r="A17" s="370">
        <v>1</v>
      </c>
      <c r="B17" s="370"/>
      <c r="C17" s="370" t="s">
        <v>93</v>
      </c>
      <c r="D17" s="9" t="b">
        <v>0</v>
      </c>
      <c r="E17" s="14" t="s">
        <v>15</v>
      </c>
      <c r="F17" s="15">
        <v>6</v>
      </c>
      <c r="G17" s="166">
        <v>1</v>
      </c>
      <c r="H17" s="16" t="s">
        <v>15</v>
      </c>
      <c r="I17" s="15">
        <v>6</v>
      </c>
      <c r="J17" s="17">
        <v>1</v>
      </c>
      <c r="K17" s="250" t="str">
        <f t="shared" si="0"/>
        <v>--</v>
      </c>
      <c r="L17" s="52">
        <v>1</v>
      </c>
      <c r="M17" s="52" t="s">
        <v>193</v>
      </c>
    </row>
    <row r="18" spans="1:13" ht="24.95" customHeight="1" x14ac:dyDescent="0.25">
      <c r="A18" s="370">
        <v>1</v>
      </c>
      <c r="B18" s="370"/>
      <c r="C18" s="370" t="s">
        <v>93</v>
      </c>
      <c r="D18" s="9" t="b">
        <v>0</v>
      </c>
      <c r="E18" s="14" t="s">
        <v>19</v>
      </c>
      <c r="F18" s="15">
        <v>6</v>
      </c>
      <c r="G18" s="166">
        <v>1</v>
      </c>
      <c r="H18" s="16" t="s">
        <v>18</v>
      </c>
      <c r="I18" s="15">
        <v>6</v>
      </c>
      <c r="J18" s="17">
        <v>2</v>
      </c>
      <c r="K18" s="250" t="str">
        <f t="shared" si="0"/>
        <v>--</v>
      </c>
      <c r="L18" s="52">
        <v>1</v>
      </c>
      <c r="M18" s="52" t="s">
        <v>193</v>
      </c>
    </row>
    <row r="19" spans="1:13" ht="24.95" customHeight="1" x14ac:dyDescent="0.25">
      <c r="A19" s="370">
        <v>1</v>
      </c>
      <c r="B19" s="370"/>
      <c r="C19" s="370" t="s">
        <v>93</v>
      </c>
      <c r="D19" s="9" t="b">
        <v>0</v>
      </c>
      <c r="E19" s="14" t="s">
        <v>20</v>
      </c>
      <c r="F19" s="15">
        <v>6</v>
      </c>
      <c r="G19" s="166">
        <v>1</v>
      </c>
      <c r="H19" s="16" t="s">
        <v>20</v>
      </c>
      <c r="I19" s="15">
        <v>6</v>
      </c>
      <c r="J19" s="17">
        <v>1</v>
      </c>
      <c r="K19" s="250" t="str">
        <f t="shared" si="0"/>
        <v>--</v>
      </c>
      <c r="L19" s="52">
        <v>2</v>
      </c>
      <c r="M19" s="52" t="s">
        <v>193</v>
      </c>
    </row>
    <row r="20" spans="1:13" ht="24.95" customHeight="1" thickBot="1" x14ac:dyDescent="0.3">
      <c r="A20" s="370">
        <v>1</v>
      </c>
      <c r="B20" s="370"/>
      <c r="C20" s="370" t="s">
        <v>93</v>
      </c>
      <c r="D20" s="161" t="b">
        <v>0</v>
      </c>
      <c r="E20" s="162" t="s">
        <v>39</v>
      </c>
      <c r="F20" s="163">
        <v>3</v>
      </c>
      <c r="G20" s="167">
        <v>1</v>
      </c>
      <c r="H20" s="254" t="s">
        <v>39</v>
      </c>
      <c r="I20" s="163">
        <v>3</v>
      </c>
      <c r="J20" s="255">
        <v>3</v>
      </c>
      <c r="K20" s="252" t="str">
        <f t="shared" si="0"/>
        <v>--</v>
      </c>
      <c r="L20" s="52">
        <v>2</v>
      </c>
      <c r="M20" s="52" t="s">
        <v>193</v>
      </c>
    </row>
    <row r="21" spans="1:13" ht="24.95" customHeight="1" x14ac:dyDescent="0.25">
      <c r="A21" s="370">
        <v>2</v>
      </c>
      <c r="B21" s="370"/>
      <c r="C21" s="370" t="s">
        <v>93</v>
      </c>
      <c r="D21" s="9" t="b">
        <v>0</v>
      </c>
      <c r="E21" s="10" t="s">
        <v>14</v>
      </c>
      <c r="F21" s="11">
        <v>9</v>
      </c>
      <c r="G21" s="11">
        <v>2</v>
      </c>
      <c r="H21" s="12" t="s">
        <v>13</v>
      </c>
      <c r="I21" s="11">
        <v>9</v>
      </c>
      <c r="J21" s="13">
        <v>2</v>
      </c>
      <c r="K21" s="253" t="str">
        <f t="shared" si="0"/>
        <v>--</v>
      </c>
      <c r="L21" s="52">
        <v>1</v>
      </c>
      <c r="M21" s="52" t="s">
        <v>193</v>
      </c>
    </row>
    <row r="22" spans="1:13" ht="24.95" customHeight="1" x14ac:dyDescent="0.25">
      <c r="A22" s="370">
        <v>2</v>
      </c>
      <c r="B22" s="370"/>
      <c r="C22" s="370" t="s">
        <v>93</v>
      </c>
      <c r="D22" s="9" t="b">
        <v>0</v>
      </c>
      <c r="E22" s="14" t="s">
        <v>17</v>
      </c>
      <c r="F22" s="15">
        <v>6</v>
      </c>
      <c r="G22" s="15">
        <v>2</v>
      </c>
      <c r="H22" s="16" t="s">
        <v>16</v>
      </c>
      <c r="I22" s="15">
        <v>6</v>
      </c>
      <c r="J22" s="17">
        <v>1</v>
      </c>
      <c r="K22" s="250" t="str">
        <f t="shared" si="0"/>
        <v>--</v>
      </c>
      <c r="L22" s="52">
        <v>2</v>
      </c>
      <c r="M22" s="52" t="s">
        <v>193</v>
      </c>
    </row>
    <row r="23" spans="1:13" ht="24.95" customHeight="1" x14ac:dyDescent="0.25">
      <c r="A23" s="370">
        <v>2</v>
      </c>
      <c r="B23" s="370"/>
      <c r="C23" s="370" t="s">
        <v>93</v>
      </c>
      <c r="D23" s="9" t="b">
        <v>0</v>
      </c>
      <c r="E23" s="20" t="s">
        <v>25</v>
      </c>
      <c r="F23" s="15">
        <v>6</v>
      </c>
      <c r="G23" s="15">
        <v>2</v>
      </c>
      <c r="H23" s="21" t="s">
        <v>24</v>
      </c>
      <c r="I23" s="15">
        <v>4.5</v>
      </c>
      <c r="J23" s="17">
        <v>2</v>
      </c>
      <c r="K23" s="250" t="str">
        <f t="shared" si="0"/>
        <v>--</v>
      </c>
      <c r="L23" s="52">
        <v>1</v>
      </c>
      <c r="M23" s="52" t="s">
        <v>193</v>
      </c>
    </row>
    <row r="24" spans="1:13" ht="24.95" customHeight="1" x14ac:dyDescent="0.25">
      <c r="A24" s="370"/>
      <c r="B24" s="370"/>
      <c r="C24" s="370" t="s">
        <v>93</v>
      </c>
      <c r="D24" s="407" t="b">
        <f>D23</f>
        <v>0</v>
      </c>
      <c r="E24" s="20"/>
      <c r="F24" s="15"/>
      <c r="G24" s="15"/>
      <c r="H24" s="21" t="s">
        <v>74</v>
      </c>
      <c r="I24" s="22">
        <v>1.5</v>
      </c>
      <c r="J24" s="23"/>
      <c r="K24" s="250" t="str">
        <f t="shared" si="0"/>
        <v>--</v>
      </c>
      <c r="L24" s="52"/>
      <c r="M24" s="52" t="s">
        <v>193</v>
      </c>
    </row>
    <row r="25" spans="1:13" ht="24.95" customHeight="1" x14ac:dyDescent="0.25">
      <c r="A25" s="370">
        <v>2</v>
      </c>
      <c r="B25" s="370"/>
      <c r="C25" s="370" t="s">
        <v>93</v>
      </c>
      <c r="D25" s="9" t="b">
        <v>0</v>
      </c>
      <c r="E25" s="20" t="s">
        <v>26</v>
      </c>
      <c r="F25" s="15">
        <v>9</v>
      </c>
      <c r="G25" s="15">
        <v>2</v>
      </c>
      <c r="H25" s="21" t="s">
        <v>26</v>
      </c>
      <c r="I25" s="15">
        <v>7.5</v>
      </c>
      <c r="J25" s="17">
        <v>2</v>
      </c>
      <c r="K25" s="250" t="str">
        <f t="shared" si="0"/>
        <v>--</v>
      </c>
      <c r="L25" s="52">
        <v>2</v>
      </c>
      <c r="M25" s="52" t="s">
        <v>193</v>
      </c>
    </row>
    <row r="26" spans="1:13" ht="24.95" customHeight="1" x14ac:dyDescent="0.25">
      <c r="A26" s="370"/>
      <c r="B26" s="370"/>
      <c r="C26" s="370" t="s">
        <v>93</v>
      </c>
      <c r="D26" s="407" t="b">
        <f>D25</f>
        <v>0</v>
      </c>
      <c r="E26" s="20"/>
      <c r="F26" s="15"/>
      <c r="G26" s="15"/>
      <c r="H26" s="21" t="s">
        <v>74</v>
      </c>
      <c r="I26" s="22">
        <v>1.5</v>
      </c>
      <c r="J26" s="23"/>
      <c r="K26" s="250" t="str">
        <f t="shared" si="0"/>
        <v>--</v>
      </c>
      <c r="L26" s="52"/>
      <c r="M26" s="52" t="s">
        <v>193</v>
      </c>
    </row>
    <row r="27" spans="1:13" ht="24.95" customHeight="1" x14ac:dyDescent="0.25">
      <c r="A27" s="370">
        <v>2</v>
      </c>
      <c r="B27" s="370"/>
      <c r="C27" s="370" t="s">
        <v>93</v>
      </c>
      <c r="D27" s="9" t="b">
        <v>0</v>
      </c>
      <c r="E27" s="14" t="s">
        <v>27</v>
      </c>
      <c r="F27" s="15">
        <v>6</v>
      </c>
      <c r="G27" s="15">
        <v>2</v>
      </c>
      <c r="H27" s="16" t="s">
        <v>27</v>
      </c>
      <c r="I27" s="15">
        <v>6</v>
      </c>
      <c r="J27" s="17">
        <v>2</v>
      </c>
      <c r="K27" s="250" t="str">
        <f t="shared" si="0"/>
        <v>--</v>
      </c>
      <c r="L27" s="52">
        <v>1</v>
      </c>
      <c r="M27" s="52" t="s">
        <v>193</v>
      </c>
    </row>
    <row r="28" spans="1:13" ht="24.95" customHeight="1" x14ac:dyDescent="0.25">
      <c r="A28" s="370">
        <v>2</v>
      </c>
      <c r="B28" s="370"/>
      <c r="C28" s="370" t="s">
        <v>93</v>
      </c>
      <c r="D28" s="9" t="b">
        <v>0</v>
      </c>
      <c r="E28" s="14" t="s">
        <v>29</v>
      </c>
      <c r="F28" s="15">
        <v>3</v>
      </c>
      <c r="G28" s="15">
        <v>2</v>
      </c>
      <c r="H28" s="16" t="s">
        <v>28</v>
      </c>
      <c r="I28" s="15">
        <v>3</v>
      </c>
      <c r="J28" s="17">
        <v>4</v>
      </c>
      <c r="K28" s="250" t="str">
        <f t="shared" si="0"/>
        <v>--</v>
      </c>
      <c r="L28" s="52">
        <v>1</v>
      </c>
      <c r="M28" s="52" t="s">
        <v>193</v>
      </c>
    </row>
    <row r="29" spans="1:13" ht="24.95" customHeight="1" x14ac:dyDescent="0.25">
      <c r="A29" s="370">
        <v>2</v>
      </c>
      <c r="B29" s="370"/>
      <c r="C29" s="370" t="s">
        <v>93</v>
      </c>
      <c r="D29" s="9" t="b">
        <v>0</v>
      </c>
      <c r="E29" s="14" t="s">
        <v>34</v>
      </c>
      <c r="F29" s="15">
        <v>6</v>
      </c>
      <c r="G29" s="15">
        <v>2</v>
      </c>
      <c r="H29" s="16" t="s">
        <v>33</v>
      </c>
      <c r="I29" s="18">
        <v>6</v>
      </c>
      <c r="J29" s="19">
        <v>1</v>
      </c>
      <c r="K29" s="250" t="str">
        <f t="shared" si="0"/>
        <v>--</v>
      </c>
      <c r="L29" s="52">
        <v>2</v>
      </c>
      <c r="M29" s="52" t="s">
        <v>193</v>
      </c>
    </row>
    <row r="30" spans="1:13" ht="24.95" customHeight="1" x14ac:dyDescent="0.25">
      <c r="A30" s="370">
        <v>2</v>
      </c>
      <c r="B30" s="370"/>
      <c r="C30" s="370" t="s">
        <v>93</v>
      </c>
      <c r="D30" s="9" t="b">
        <v>0</v>
      </c>
      <c r="E30" s="14" t="s">
        <v>36</v>
      </c>
      <c r="F30" s="15">
        <v>6</v>
      </c>
      <c r="G30" s="15">
        <v>2</v>
      </c>
      <c r="H30" s="16" t="s">
        <v>35</v>
      </c>
      <c r="I30" s="15">
        <v>6</v>
      </c>
      <c r="J30" s="17">
        <v>2</v>
      </c>
      <c r="K30" s="250" t="str">
        <f t="shared" si="0"/>
        <v>--</v>
      </c>
      <c r="L30" s="52">
        <v>2</v>
      </c>
      <c r="M30" s="52" t="s">
        <v>193</v>
      </c>
    </row>
    <row r="31" spans="1:13" ht="24.95" customHeight="1" x14ac:dyDescent="0.25">
      <c r="A31" s="370">
        <v>2</v>
      </c>
      <c r="B31" s="370"/>
      <c r="C31" s="370" t="s">
        <v>93</v>
      </c>
      <c r="D31" s="9" t="b">
        <v>0</v>
      </c>
      <c r="E31" s="14" t="s">
        <v>38</v>
      </c>
      <c r="F31" s="15">
        <v>3</v>
      </c>
      <c r="G31" s="15">
        <v>2</v>
      </c>
      <c r="H31" s="16" t="s">
        <v>37</v>
      </c>
      <c r="I31" s="15">
        <v>4.5</v>
      </c>
      <c r="J31" s="17">
        <v>3</v>
      </c>
      <c r="K31" s="250" t="str">
        <f t="shared" si="0"/>
        <v>--</v>
      </c>
      <c r="L31" s="52">
        <v>2</v>
      </c>
      <c r="M31" s="52" t="s">
        <v>193</v>
      </c>
    </row>
    <row r="32" spans="1:13" ht="24.95" customHeight="1" x14ac:dyDescent="0.25">
      <c r="A32" s="370">
        <v>2</v>
      </c>
      <c r="B32" s="370"/>
      <c r="C32" s="370" t="s">
        <v>93</v>
      </c>
      <c r="D32" s="9" t="b">
        <v>0</v>
      </c>
      <c r="E32" s="14" t="s">
        <v>42</v>
      </c>
      <c r="F32" s="15">
        <v>6</v>
      </c>
      <c r="G32" s="15">
        <v>2</v>
      </c>
      <c r="H32" s="16" t="s">
        <v>41</v>
      </c>
      <c r="I32" s="15">
        <v>6</v>
      </c>
      <c r="J32" s="17">
        <v>2</v>
      </c>
      <c r="K32" s="250" t="str">
        <f t="shared" si="0"/>
        <v>--</v>
      </c>
      <c r="L32" s="52">
        <v>2</v>
      </c>
      <c r="M32" s="52" t="s">
        <v>193</v>
      </c>
    </row>
    <row r="33" spans="1:13" ht="24.95" customHeight="1" thickBot="1" x14ac:dyDescent="0.3">
      <c r="A33" s="370">
        <v>2</v>
      </c>
      <c r="B33" s="370"/>
      <c r="C33" s="370" t="s">
        <v>93</v>
      </c>
      <c r="D33" s="161" t="b">
        <v>0</v>
      </c>
      <c r="E33" s="162" t="s">
        <v>81</v>
      </c>
      <c r="F33" s="163"/>
      <c r="G33" s="163"/>
      <c r="H33" s="254" t="s">
        <v>43</v>
      </c>
      <c r="I33" s="163">
        <v>3</v>
      </c>
      <c r="J33" s="255">
        <v>2</v>
      </c>
      <c r="K33" s="252" t="str">
        <f t="shared" si="0"/>
        <v>--</v>
      </c>
      <c r="L33" s="52">
        <v>2</v>
      </c>
      <c r="M33" s="52" t="s">
        <v>193</v>
      </c>
    </row>
    <row r="34" spans="1:13" ht="24.95" customHeight="1" x14ac:dyDescent="0.25">
      <c r="A34" s="370">
        <v>3</v>
      </c>
      <c r="B34" s="370"/>
      <c r="C34" s="370" t="s">
        <v>94</v>
      </c>
      <c r="D34" s="9" t="b">
        <v>0</v>
      </c>
      <c r="E34" s="10" t="s">
        <v>21</v>
      </c>
      <c r="F34" s="11">
        <v>9</v>
      </c>
      <c r="G34" s="165">
        <v>3</v>
      </c>
      <c r="H34" s="256" t="s">
        <v>21</v>
      </c>
      <c r="I34" s="11">
        <v>7.5</v>
      </c>
      <c r="J34" s="13">
        <v>2</v>
      </c>
      <c r="K34" s="253" t="str">
        <f t="shared" si="0"/>
        <v>--</v>
      </c>
      <c r="L34" s="52">
        <v>2</v>
      </c>
      <c r="M34" s="52" t="s">
        <v>193</v>
      </c>
    </row>
    <row r="35" spans="1:13" ht="24.95" customHeight="1" x14ac:dyDescent="0.25">
      <c r="A35" s="370"/>
      <c r="B35" s="370"/>
      <c r="C35" s="370" t="s">
        <v>93</v>
      </c>
      <c r="D35" s="9" t="b">
        <f>D34</f>
        <v>0</v>
      </c>
      <c r="E35" s="141"/>
      <c r="F35" s="15"/>
      <c r="G35" s="166"/>
      <c r="H35" s="21" t="s">
        <v>74</v>
      </c>
      <c r="I35" s="22">
        <v>1.5</v>
      </c>
      <c r="J35" s="23"/>
      <c r="K35" s="250" t="str">
        <f t="shared" si="0"/>
        <v>--</v>
      </c>
      <c r="L35" s="52"/>
      <c r="M35" s="52"/>
    </row>
    <row r="36" spans="1:13" ht="24.95" customHeight="1" x14ac:dyDescent="0.25">
      <c r="A36" s="370">
        <v>3</v>
      </c>
      <c r="B36" s="370"/>
      <c r="C36" s="370" t="s">
        <v>94</v>
      </c>
      <c r="D36" s="9" t="b">
        <v>0</v>
      </c>
      <c r="E36" s="14" t="s">
        <v>22</v>
      </c>
      <c r="F36" s="15">
        <v>6</v>
      </c>
      <c r="G36" s="166">
        <v>3</v>
      </c>
      <c r="H36" s="16" t="s">
        <v>22</v>
      </c>
      <c r="I36" s="15">
        <v>6</v>
      </c>
      <c r="J36" s="17">
        <v>3</v>
      </c>
      <c r="K36" s="250" t="str">
        <f t="shared" si="0"/>
        <v>--</v>
      </c>
      <c r="L36" s="52">
        <v>2</v>
      </c>
      <c r="M36" s="52" t="s">
        <v>193</v>
      </c>
    </row>
    <row r="37" spans="1:13" ht="24.95" customHeight="1" x14ac:dyDescent="0.25">
      <c r="A37" s="370">
        <v>3</v>
      </c>
      <c r="B37" s="370"/>
      <c r="C37" s="370" t="s">
        <v>94</v>
      </c>
      <c r="D37" s="9" t="b">
        <v>0</v>
      </c>
      <c r="E37" s="14" t="s">
        <v>30</v>
      </c>
      <c r="F37" s="15">
        <v>6</v>
      </c>
      <c r="G37" s="166">
        <v>3</v>
      </c>
      <c r="H37" s="16" t="s">
        <v>30</v>
      </c>
      <c r="I37" s="15">
        <v>6</v>
      </c>
      <c r="J37" s="17">
        <v>3</v>
      </c>
      <c r="K37" s="250" t="str">
        <f t="shared" si="0"/>
        <v>--</v>
      </c>
      <c r="L37" s="52">
        <v>2</v>
      </c>
      <c r="M37" s="52" t="s">
        <v>193</v>
      </c>
    </row>
    <row r="38" spans="1:13" ht="24.95" customHeight="1" x14ac:dyDescent="0.25">
      <c r="A38" s="370">
        <v>3</v>
      </c>
      <c r="B38" s="370"/>
      <c r="C38" s="370" t="s">
        <v>94</v>
      </c>
      <c r="D38" s="9" t="b">
        <v>0</v>
      </c>
      <c r="E38" s="14" t="s">
        <v>31</v>
      </c>
      <c r="F38" s="15">
        <v>3</v>
      </c>
      <c r="G38" s="166">
        <v>3</v>
      </c>
      <c r="H38" s="16" t="s">
        <v>31</v>
      </c>
      <c r="I38" s="15">
        <v>3</v>
      </c>
      <c r="J38" s="17">
        <v>4</v>
      </c>
      <c r="K38" s="250" t="str">
        <f t="shared" si="0"/>
        <v>--</v>
      </c>
      <c r="L38" s="52">
        <v>1</v>
      </c>
      <c r="M38" s="52" t="s">
        <v>193</v>
      </c>
    </row>
    <row r="39" spans="1:13" ht="24.95" customHeight="1" thickBot="1" x14ac:dyDescent="0.3">
      <c r="A39" s="370">
        <v>3</v>
      </c>
      <c r="B39" s="370"/>
      <c r="C39" s="370" t="s">
        <v>94</v>
      </c>
      <c r="D39" s="161" t="b">
        <v>0</v>
      </c>
      <c r="E39" s="162" t="s">
        <v>40</v>
      </c>
      <c r="F39" s="163">
        <v>6</v>
      </c>
      <c r="G39" s="167">
        <v>3</v>
      </c>
      <c r="H39" s="254" t="s">
        <v>40</v>
      </c>
      <c r="I39" s="163">
        <v>6</v>
      </c>
      <c r="J39" s="255">
        <v>3</v>
      </c>
      <c r="K39" s="252" t="str">
        <f t="shared" si="0"/>
        <v>--</v>
      </c>
      <c r="L39" s="52">
        <v>1</v>
      </c>
      <c r="M39" s="52" t="s">
        <v>193</v>
      </c>
    </row>
    <row r="40" spans="1:13" ht="24.95" customHeight="1" x14ac:dyDescent="0.25">
      <c r="A40" s="370">
        <v>4</v>
      </c>
      <c r="B40" s="370"/>
      <c r="C40" s="370" t="s">
        <v>94</v>
      </c>
      <c r="D40" s="9" t="b">
        <v>0</v>
      </c>
      <c r="E40" s="168" t="s">
        <v>23</v>
      </c>
      <c r="F40" s="11">
        <v>6</v>
      </c>
      <c r="G40" s="11">
        <v>4</v>
      </c>
      <c r="H40" s="256" t="s">
        <v>23</v>
      </c>
      <c r="I40" s="11">
        <v>4.5</v>
      </c>
      <c r="J40" s="13">
        <v>3</v>
      </c>
      <c r="K40" s="253" t="str">
        <f t="shared" si="0"/>
        <v>--</v>
      </c>
      <c r="L40" s="52">
        <v>2</v>
      </c>
      <c r="M40" s="52" t="s">
        <v>193</v>
      </c>
    </row>
    <row r="41" spans="1:13" ht="24.95" customHeight="1" x14ac:dyDescent="0.25">
      <c r="A41" s="370"/>
      <c r="B41" s="370"/>
      <c r="C41" s="370" t="s">
        <v>93</v>
      </c>
      <c r="D41" s="407" t="b">
        <f>D40</f>
        <v>0</v>
      </c>
      <c r="E41" s="20"/>
      <c r="F41" s="15"/>
      <c r="G41" s="15"/>
      <c r="H41" s="60" t="s">
        <v>74</v>
      </c>
      <c r="I41" s="22">
        <v>1.5</v>
      </c>
      <c r="J41" s="23"/>
      <c r="K41" s="250" t="str">
        <f t="shared" si="0"/>
        <v>--</v>
      </c>
      <c r="L41" s="52"/>
      <c r="M41" s="52"/>
    </row>
    <row r="42" spans="1:13" ht="24.95" customHeight="1" x14ac:dyDescent="0.25">
      <c r="A42" s="370">
        <v>4</v>
      </c>
      <c r="B42" s="370"/>
      <c r="C42" s="370" t="s">
        <v>94</v>
      </c>
      <c r="D42" s="9" t="b">
        <v>0</v>
      </c>
      <c r="E42" s="27" t="s">
        <v>32</v>
      </c>
      <c r="F42" s="15">
        <v>6</v>
      </c>
      <c r="G42" s="82">
        <v>4</v>
      </c>
      <c r="H42" s="29" t="s">
        <v>32</v>
      </c>
      <c r="I42" s="83">
        <v>6</v>
      </c>
      <c r="J42" s="17">
        <v>4</v>
      </c>
      <c r="K42" s="250" t="str">
        <f t="shared" ref="K42:K73" si="1">IF($D42,"Adaptable",   "--")</f>
        <v>--</v>
      </c>
      <c r="L42" s="52">
        <v>1</v>
      </c>
      <c r="M42" s="52" t="s">
        <v>193</v>
      </c>
    </row>
    <row r="43" spans="1:13" ht="24.95" customHeight="1" x14ac:dyDescent="0.25">
      <c r="A43" s="370">
        <v>4</v>
      </c>
      <c r="B43" s="370" t="s">
        <v>108</v>
      </c>
      <c r="C43" s="370" t="s">
        <v>93</v>
      </c>
      <c r="D43" s="9" t="b">
        <v>0</v>
      </c>
      <c r="E43" s="10" t="s">
        <v>102</v>
      </c>
      <c r="F43" s="15">
        <v>6</v>
      </c>
      <c r="G43" s="82">
        <v>4</v>
      </c>
      <c r="H43" s="85" t="s">
        <v>102</v>
      </c>
      <c r="I43" s="83">
        <v>6</v>
      </c>
      <c r="J43" s="17">
        <v>4</v>
      </c>
      <c r="K43" s="250" t="str">
        <f t="shared" si="1"/>
        <v>--</v>
      </c>
      <c r="L43" s="52"/>
      <c r="M43" s="52" t="s">
        <v>193</v>
      </c>
    </row>
    <row r="44" spans="1:13" ht="24.95" customHeight="1" thickBot="1" x14ac:dyDescent="0.3">
      <c r="A44" s="370">
        <v>4</v>
      </c>
      <c r="B44" s="370"/>
      <c r="C44" s="370" t="s">
        <v>93</v>
      </c>
      <c r="D44" s="161" t="b">
        <v>0</v>
      </c>
      <c r="E44" s="162" t="s">
        <v>44</v>
      </c>
      <c r="F44" s="163">
        <v>12</v>
      </c>
      <c r="G44" s="163">
        <v>4</v>
      </c>
      <c r="H44" s="259" t="s">
        <v>44</v>
      </c>
      <c r="I44" s="260">
        <v>12</v>
      </c>
      <c r="J44" s="255">
        <v>4</v>
      </c>
      <c r="K44" s="261" t="str">
        <f>IF($D44,"Adaptable",   "NO Adaptable")</f>
        <v>NO Adaptable</v>
      </c>
      <c r="L44" s="52">
        <v>2</v>
      </c>
      <c r="M44" s="52" t="s">
        <v>193</v>
      </c>
    </row>
    <row r="45" spans="1:13" ht="24.95" customHeight="1" x14ac:dyDescent="0.25">
      <c r="A45" s="370">
        <v>5</v>
      </c>
      <c r="B45" s="370"/>
      <c r="C45" s="370"/>
      <c r="D45" s="24" t="b">
        <v>0</v>
      </c>
      <c r="E45" s="169" t="s">
        <v>45</v>
      </c>
      <c r="F45" s="164"/>
      <c r="G45" s="164"/>
      <c r="H45" s="84"/>
      <c r="I45" s="164"/>
      <c r="J45" s="257"/>
      <c r="K45" s="258" t="str">
        <f t="shared" si="1"/>
        <v>--</v>
      </c>
      <c r="L45" s="52"/>
      <c r="M45" s="52"/>
    </row>
    <row r="46" spans="1:13" ht="24.95" customHeight="1" x14ac:dyDescent="0.25">
      <c r="A46" s="370">
        <v>5</v>
      </c>
      <c r="B46" s="370" t="str">
        <f t="shared" ref="B46:B53" si="2">IF(   AND($F$5&lt;&gt;1,$F$5&lt;4),"P","")</f>
        <v/>
      </c>
      <c r="C46" s="370" t="s">
        <v>95</v>
      </c>
      <c r="D46" s="9" t="b">
        <v>0</v>
      </c>
      <c r="E46" s="14" t="s">
        <v>49</v>
      </c>
      <c r="F46" s="15">
        <v>6</v>
      </c>
      <c r="G46" s="166">
        <v>3</v>
      </c>
      <c r="H46" s="16" t="s">
        <v>49</v>
      </c>
      <c r="I46" s="15">
        <v>6</v>
      </c>
      <c r="J46" s="17">
        <v>3</v>
      </c>
      <c r="K46" s="250" t="str">
        <f t="shared" si="1"/>
        <v>--</v>
      </c>
      <c r="L46" s="52">
        <v>1</v>
      </c>
      <c r="M46" s="52" t="str">
        <f>Adaptación!G51</f>
        <v>?</v>
      </c>
    </row>
    <row r="47" spans="1:13" ht="24.95" customHeight="1" x14ac:dyDescent="0.25">
      <c r="A47" s="370">
        <v>5</v>
      </c>
      <c r="B47" s="370" t="str">
        <f t="shared" si="2"/>
        <v/>
      </c>
      <c r="C47" s="370" t="s">
        <v>95</v>
      </c>
      <c r="D47" s="9" t="b">
        <v>0</v>
      </c>
      <c r="E47" s="14" t="s">
        <v>50</v>
      </c>
      <c r="F47" s="15">
        <v>6</v>
      </c>
      <c r="G47" s="166">
        <v>3</v>
      </c>
      <c r="H47" s="16" t="s">
        <v>50</v>
      </c>
      <c r="I47" s="15">
        <v>6</v>
      </c>
      <c r="J47" s="17">
        <v>3</v>
      </c>
      <c r="K47" s="250" t="str">
        <f t="shared" si="1"/>
        <v>--</v>
      </c>
      <c r="L47" s="52">
        <v>1</v>
      </c>
      <c r="M47" s="52" t="s">
        <v>193</v>
      </c>
    </row>
    <row r="48" spans="1:13" ht="24.95" customHeight="1" x14ac:dyDescent="0.25">
      <c r="A48" s="370">
        <v>5</v>
      </c>
      <c r="B48" s="370" t="str">
        <f t="shared" si="2"/>
        <v/>
      </c>
      <c r="C48" s="370" t="s">
        <v>95</v>
      </c>
      <c r="D48" s="9" t="b">
        <v>0</v>
      </c>
      <c r="E48" s="14" t="s">
        <v>52</v>
      </c>
      <c r="F48" s="15">
        <v>6</v>
      </c>
      <c r="G48" s="166">
        <v>3</v>
      </c>
      <c r="H48" s="16" t="s">
        <v>52</v>
      </c>
      <c r="I48" s="15">
        <v>6</v>
      </c>
      <c r="J48" s="17">
        <v>4</v>
      </c>
      <c r="K48" s="250" t="str">
        <f t="shared" si="1"/>
        <v>--</v>
      </c>
      <c r="L48" s="52">
        <v>1</v>
      </c>
      <c r="M48" s="52" t="str">
        <f>Adaptación!G58</f>
        <v/>
      </c>
    </row>
    <row r="49" spans="1:13" ht="24.95" customHeight="1" x14ac:dyDescent="0.25">
      <c r="A49" s="370">
        <v>5</v>
      </c>
      <c r="B49" s="370" t="str">
        <f t="shared" si="2"/>
        <v/>
      </c>
      <c r="C49" s="370" t="s">
        <v>95</v>
      </c>
      <c r="D49" s="9" t="b">
        <v>0</v>
      </c>
      <c r="E49" s="14" t="s">
        <v>54</v>
      </c>
      <c r="F49" s="15">
        <v>6</v>
      </c>
      <c r="G49" s="166">
        <v>3</v>
      </c>
      <c r="H49" s="16" t="s">
        <v>53</v>
      </c>
      <c r="I49" s="15">
        <v>6</v>
      </c>
      <c r="J49" s="17">
        <v>3</v>
      </c>
      <c r="K49" s="250" t="str">
        <f t="shared" si="1"/>
        <v>--</v>
      </c>
      <c r="L49" s="52">
        <v>1</v>
      </c>
      <c r="M49" s="52" t="s">
        <v>193</v>
      </c>
    </row>
    <row r="50" spans="1:13" ht="24.95" customHeight="1" x14ac:dyDescent="0.25">
      <c r="A50" s="370">
        <v>6</v>
      </c>
      <c r="B50" s="370" t="str">
        <f t="shared" si="2"/>
        <v/>
      </c>
      <c r="C50" s="370" t="s">
        <v>95</v>
      </c>
      <c r="D50" s="24" t="b">
        <v>0</v>
      </c>
      <c r="E50" s="14" t="s">
        <v>46</v>
      </c>
      <c r="F50" s="15">
        <v>6</v>
      </c>
      <c r="G50" s="15">
        <v>4</v>
      </c>
      <c r="H50" s="16" t="s">
        <v>46</v>
      </c>
      <c r="I50" s="15">
        <v>6</v>
      </c>
      <c r="J50" s="17">
        <v>4</v>
      </c>
      <c r="K50" s="250" t="str">
        <f t="shared" si="1"/>
        <v>--</v>
      </c>
      <c r="L50" s="52">
        <v>2</v>
      </c>
      <c r="M50" s="52" t="str">
        <f>Adaptación!G55</f>
        <v/>
      </c>
    </row>
    <row r="51" spans="1:13" ht="24.95" customHeight="1" x14ac:dyDescent="0.25">
      <c r="A51" s="370">
        <v>6</v>
      </c>
      <c r="B51" s="370" t="str">
        <f t="shared" si="2"/>
        <v/>
      </c>
      <c r="C51" s="370" t="s">
        <v>95</v>
      </c>
      <c r="D51" s="9" t="b">
        <v>0</v>
      </c>
      <c r="E51" s="14" t="s">
        <v>47</v>
      </c>
      <c r="F51" s="15">
        <v>3</v>
      </c>
      <c r="G51" s="15">
        <v>4</v>
      </c>
      <c r="H51" s="16" t="s">
        <v>47</v>
      </c>
      <c r="I51" s="15">
        <v>3</v>
      </c>
      <c r="J51" s="17">
        <v>4</v>
      </c>
      <c r="K51" s="250" t="str">
        <f t="shared" si="1"/>
        <v>--</v>
      </c>
      <c r="L51" s="52">
        <v>1</v>
      </c>
      <c r="M51" s="52" t="str">
        <f>Adaptación!G56</f>
        <v/>
      </c>
    </row>
    <row r="52" spans="1:13" ht="24.95" customHeight="1" x14ac:dyDescent="0.25">
      <c r="A52" s="370">
        <v>6</v>
      </c>
      <c r="B52" s="370" t="str">
        <f t="shared" si="2"/>
        <v/>
      </c>
      <c r="C52" s="370" t="s">
        <v>95</v>
      </c>
      <c r="D52" s="9" t="b">
        <v>0</v>
      </c>
      <c r="E52" s="14" t="s">
        <v>48</v>
      </c>
      <c r="F52" s="15">
        <v>9</v>
      </c>
      <c r="G52" s="15">
        <v>4</v>
      </c>
      <c r="H52" s="16" t="s">
        <v>48</v>
      </c>
      <c r="I52" s="15">
        <v>9</v>
      </c>
      <c r="J52" s="17">
        <v>4</v>
      </c>
      <c r="K52" s="250" t="str">
        <f t="shared" si="1"/>
        <v>--</v>
      </c>
      <c r="L52" s="52">
        <v>1</v>
      </c>
      <c r="M52" s="52" t="str">
        <f>Adaptación!G57</f>
        <v/>
      </c>
    </row>
    <row r="53" spans="1:13" ht="24.95" customHeight="1" thickBot="1" x14ac:dyDescent="0.3">
      <c r="A53" s="370">
        <v>6</v>
      </c>
      <c r="B53" s="370" t="str">
        <f t="shared" si="2"/>
        <v/>
      </c>
      <c r="C53" s="370" t="s">
        <v>95</v>
      </c>
      <c r="D53" s="161" t="b">
        <v>0</v>
      </c>
      <c r="E53" s="162" t="s">
        <v>51</v>
      </c>
      <c r="F53" s="163">
        <v>6</v>
      </c>
      <c r="G53" s="163">
        <v>4</v>
      </c>
      <c r="H53" s="254" t="s">
        <v>51</v>
      </c>
      <c r="I53" s="163">
        <v>6</v>
      </c>
      <c r="J53" s="255">
        <v>3</v>
      </c>
      <c r="K53" s="252" t="str">
        <f t="shared" si="1"/>
        <v>--</v>
      </c>
      <c r="L53" s="52">
        <v>2</v>
      </c>
      <c r="M53" s="52" t="str">
        <f>Tabla7[[#This Row],[OPT]]</f>
        <v>?</v>
      </c>
    </row>
    <row r="54" spans="1:13" ht="24.95" customHeight="1" x14ac:dyDescent="0.25">
      <c r="A54" s="370">
        <v>7</v>
      </c>
      <c r="B54" s="370"/>
      <c r="C54" s="370"/>
      <c r="D54" s="9" t="b">
        <v>0</v>
      </c>
      <c r="E54" s="169" t="s">
        <v>55</v>
      </c>
      <c r="F54" s="164"/>
      <c r="G54" s="164"/>
      <c r="H54" s="84"/>
      <c r="I54" s="164"/>
      <c r="J54" s="257"/>
      <c r="K54" s="258"/>
      <c r="L54" s="52"/>
      <c r="M54" s="52"/>
    </row>
    <row r="55" spans="1:13" ht="24.95" customHeight="1" x14ac:dyDescent="0.25">
      <c r="A55" s="370">
        <v>7</v>
      </c>
      <c r="B55" s="370" t="str">
        <f t="shared" ref="B55:B63" si="3">IF(   AND($F$5&lt;&gt;2,$F$5&lt;4),"P","")</f>
        <v/>
      </c>
      <c r="C55" s="370" t="s">
        <v>96</v>
      </c>
      <c r="D55" s="9" t="b">
        <v>0</v>
      </c>
      <c r="E55" s="14" t="s">
        <v>56</v>
      </c>
      <c r="F55" s="15">
        <v>6</v>
      </c>
      <c r="G55" s="166">
        <v>3</v>
      </c>
      <c r="H55" s="16" t="s">
        <v>56</v>
      </c>
      <c r="I55" s="15">
        <v>6</v>
      </c>
      <c r="J55" s="17">
        <v>4</v>
      </c>
      <c r="K55" s="250" t="str">
        <f t="shared" si="1"/>
        <v>--</v>
      </c>
      <c r="L55" s="52">
        <v>1</v>
      </c>
      <c r="M55" s="52" t="str">
        <f>Adaptación!G64</f>
        <v/>
      </c>
    </row>
    <row r="56" spans="1:13" ht="24.95" customHeight="1" x14ac:dyDescent="0.25">
      <c r="A56" s="370">
        <v>7</v>
      </c>
      <c r="B56" s="370" t="str">
        <f t="shared" si="3"/>
        <v/>
      </c>
      <c r="C56" s="370" t="s">
        <v>96</v>
      </c>
      <c r="D56" s="9" t="b">
        <v>0</v>
      </c>
      <c r="E56" s="14" t="s">
        <v>53</v>
      </c>
      <c r="F56" s="15">
        <v>6</v>
      </c>
      <c r="G56" s="166">
        <v>3</v>
      </c>
      <c r="H56" s="16" t="s">
        <v>53</v>
      </c>
      <c r="I56" s="15">
        <v>6</v>
      </c>
      <c r="J56" s="17">
        <v>3</v>
      </c>
      <c r="K56" s="250" t="str">
        <f t="shared" si="1"/>
        <v>--</v>
      </c>
      <c r="L56" s="52">
        <v>1</v>
      </c>
      <c r="M56" s="52" t="s">
        <v>193</v>
      </c>
    </row>
    <row r="57" spans="1:13" ht="24.95" customHeight="1" x14ac:dyDescent="0.25">
      <c r="A57" s="370">
        <v>7</v>
      </c>
      <c r="B57" s="370" t="str">
        <f t="shared" si="3"/>
        <v/>
      </c>
      <c r="C57" s="370" t="s">
        <v>96</v>
      </c>
      <c r="D57" s="9" t="b">
        <v>0</v>
      </c>
      <c r="E57" s="14" t="s">
        <v>57</v>
      </c>
      <c r="F57" s="15">
        <v>6</v>
      </c>
      <c r="G57" s="166">
        <v>3</v>
      </c>
      <c r="H57" s="16" t="s">
        <v>57</v>
      </c>
      <c r="I57" s="15">
        <v>6</v>
      </c>
      <c r="J57" s="17">
        <v>3</v>
      </c>
      <c r="K57" s="250" t="str">
        <f t="shared" si="1"/>
        <v>--</v>
      </c>
      <c r="L57" s="52">
        <v>2</v>
      </c>
      <c r="M57" s="52" t="str">
        <f>Adaptación!G61</f>
        <v/>
      </c>
    </row>
    <row r="58" spans="1:13" ht="24.95" customHeight="1" x14ac:dyDescent="0.25">
      <c r="A58" s="370">
        <v>7</v>
      </c>
      <c r="B58" s="370" t="str">
        <f t="shared" si="3"/>
        <v/>
      </c>
      <c r="C58" s="370" t="s">
        <v>96</v>
      </c>
      <c r="D58" s="9" t="b">
        <v>0</v>
      </c>
      <c r="E58" s="14" t="s">
        <v>58</v>
      </c>
      <c r="F58" s="15">
        <v>6</v>
      </c>
      <c r="G58" s="166">
        <v>3</v>
      </c>
      <c r="H58" s="16" t="s">
        <v>58</v>
      </c>
      <c r="I58" s="15">
        <v>6</v>
      </c>
      <c r="J58" s="17">
        <v>3</v>
      </c>
      <c r="K58" s="250" t="str">
        <f t="shared" si="1"/>
        <v>--</v>
      </c>
      <c r="L58" s="52">
        <v>1</v>
      </c>
      <c r="M58" s="52" t="s">
        <v>193</v>
      </c>
    </row>
    <row r="59" spans="1:13" ht="24.95" customHeight="1" x14ac:dyDescent="0.25">
      <c r="A59" s="370">
        <v>7</v>
      </c>
      <c r="B59" s="370" t="str">
        <f t="shared" si="3"/>
        <v/>
      </c>
      <c r="C59" s="370" t="s">
        <v>96</v>
      </c>
      <c r="D59" s="9" t="b">
        <v>0</v>
      </c>
      <c r="E59" s="14" t="s">
        <v>63</v>
      </c>
      <c r="F59" s="15">
        <v>6</v>
      </c>
      <c r="G59" s="166">
        <v>3</v>
      </c>
      <c r="H59" s="16" t="s">
        <v>63</v>
      </c>
      <c r="I59" s="15">
        <v>6</v>
      </c>
      <c r="J59" s="17">
        <v>4</v>
      </c>
      <c r="K59" s="250" t="str">
        <f t="shared" si="1"/>
        <v>--</v>
      </c>
      <c r="L59" s="52">
        <v>2</v>
      </c>
      <c r="M59" s="52" t="str">
        <f>Adaptación!G68</f>
        <v/>
      </c>
    </row>
    <row r="60" spans="1:13" ht="24.95" customHeight="1" x14ac:dyDescent="0.25">
      <c r="A60" s="370">
        <v>8</v>
      </c>
      <c r="B60" s="370" t="str">
        <f t="shared" si="3"/>
        <v/>
      </c>
      <c r="C60" s="370" t="s">
        <v>96</v>
      </c>
      <c r="D60" s="9" t="b">
        <v>0</v>
      </c>
      <c r="E60" s="14" t="s">
        <v>59</v>
      </c>
      <c r="F60" s="15">
        <v>6</v>
      </c>
      <c r="G60" s="15">
        <v>4</v>
      </c>
      <c r="H60" s="16" t="s">
        <v>59</v>
      </c>
      <c r="I60" s="15">
        <v>6</v>
      </c>
      <c r="J60" s="17">
        <v>4</v>
      </c>
      <c r="K60" s="250" t="str">
        <f t="shared" si="1"/>
        <v>--</v>
      </c>
      <c r="L60" s="52">
        <v>1</v>
      </c>
      <c r="M60" s="52" t="str">
        <f>Adaptación!G65</f>
        <v/>
      </c>
    </row>
    <row r="61" spans="1:13" ht="24.95" customHeight="1" x14ac:dyDescent="0.25">
      <c r="A61" s="370">
        <v>8</v>
      </c>
      <c r="B61" s="370" t="str">
        <f t="shared" si="3"/>
        <v/>
      </c>
      <c r="C61" s="370" t="s">
        <v>96</v>
      </c>
      <c r="D61" s="24" t="b">
        <v>0</v>
      </c>
      <c r="E61" s="14" t="s">
        <v>60</v>
      </c>
      <c r="F61" s="15">
        <v>6</v>
      </c>
      <c r="G61" s="15">
        <v>4</v>
      </c>
      <c r="H61" s="16" t="s">
        <v>49</v>
      </c>
      <c r="I61" s="15">
        <v>6</v>
      </c>
      <c r="J61" s="17">
        <v>3</v>
      </c>
      <c r="K61" s="250" t="str">
        <f t="shared" si="1"/>
        <v>--</v>
      </c>
      <c r="L61" s="52">
        <v>1</v>
      </c>
      <c r="M61" s="52" t="str">
        <f>Adaptación!G63</f>
        <v>?</v>
      </c>
    </row>
    <row r="62" spans="1:13" ht="24.95" customHeight="1" x14ac:dyDescent="0.25">
      <c r="A62" s="370">
        <v>8</v>
      </c>
      <c r="B62" s="370" t="str">
        <f t="shared" si="3"/>
        <v/>
      </c>
      <c r="C62" s="370" t="s">
        <v>96</v>
      </c>
      <c r="D62" s="9" t="b">
        <v>0</v>
      </c>
      <c r="E62" s="14" t="s">
        <v>61</v>
      </c>
      <c r="F62" s="15">
        <v>3</v>
      </c>
      <c r="G62" s="15">
        <v>4</v>
      </c>
      <c r="H62" s="16" t="s">
        <v>61</v>
      </c>
      <c r="I62" s="15">
        <v>3</v>
      </c>
      <c r="J62" s="17">
        <v>4</v>
      </c>
      <c r="K62" s="250" t="str">
        <f t="shared" si="1"/>
        <v>--</v>
      </c>
      <c r="L62" s="52">
        <v>2</v>
      </c>
      <c r="M62" s="52" t="str">
        <f>Adaptación!G66</f>
        <v/>
      </c>
    </row>
    <row r="63" spans="1:13" ht="24.95" customHeight="1" thickBot="1" x14ac:dyDescent="0.3">
      <c r="A63" s="370">
        <v>8</v>
      </c>
      <c r="B63" s="370" t="str">
        <f t="shared" si="3"/>
        <v/>
      </c>
      <c r="C63" s="370" t="s">
        <v>96</v>
      </c>
      <c r="D63" s="161" t="b">
        <v>0</v>
      </c>
      <c r="E63" s="162" t="s">
        <v>62</v>
      </c>
      <c r="F63" s="163">
        <v>3</v>
      </c>
      <c r="G63" s="163">
        <v>4</v>
      </c>
      <c r="H63" s="254" t="s">
        <v>62</v>
      </c>
      <c r="I63" s="163">
        <v>3</v>
      </c>
      <c r="J63" s="255">
        <v>4</v>
      </c>
      <c r="K63" s="252" t="str">
        <f t="shared" si="1"/>
        <v>--</v>
      </c>
      <c r="L63" s="52">
        <v>2</v>
      </c>
      <c r="M63" s="52" t="str">
        <f>Adaptación!G67</f>
        <v/>
      </c>
    </row>
    <row r="64" spans="1:13" ht="24.95" customHeight="1" x14ac:dyDescent="0.25">
      <c r="A64" s="370">
        <v>9</v>
      </c>
      <c r="B64" s="370"/>
      <c r="C64" s="370"/>
      <c r="D64" s="9" t="b">
        <v>0</v>
      </c>
      <c r="E64" s="169" t="s">
        <v>134</v>
      </c>
      <c r="F64" s="164"/>
      <c r="G64" s="164"/>
      <c r="H64" s="84"/>
      <c r="I64" s="164"/>
      <c r="J64" s="257"/>
      <c r="K64" s="258"/>
      <c r="L64" s="52"/>
      <c r="M64" s="52"/>
    </row>
    <row r="65" spans="1:13" ht="24.95" customHeight="1" x14ac:dyDescent="0.25">
      <c r="A65" s="370">
        <v>9</v>
      </c>
      <c r="B65" s="370" t="str">
        <f t="shared" ref="B65:B73" si="4">IF(   AND($F$5&lt;&gt;3,$F$5&lt;4),"P","")</f>
        <v/>
      </c>
      <c r="C65" s="370" t="s">
        <v>97</v>
      </c>
      <c r="D65" s="9" t="b">
        <v>0</v>
      </c>
      <c r="E65" s="14" t="s">
        <v>65</v>
      </c>
      <c r="F65" s="15">
        <v>6</v>
      </c>
      <c r="G65" s="166">
        <v>3</v>
      </c>
      <c r="H65" s="16" t="s">
        <v>50</v>
      </c>
      <c r="I65" s="15">
        <v>6</v>
      </c>
      <c r="J65" s="17">
        <v>3</v>
      </c>
      <c r="K65" s="250" t="str">
        <f t="shared" si="1"/>
        <v>--</v>
      </c>
      <c r="L65" s="52">
        <v>1</v>
      </c>
      <c r="M65" s="52" t="s">
        <v>193</v>
      </c>
    </row>
    <row r="66" spans="1:13" ht="24.95" customHeight="1" x14ac:dyDescent="0.25">
      <c r="A66" s="370">
        <v>9</v>
      </c>
      <c r="B66" s="370" t="str">
        <f t="shared" si="4"/>
        <v/>
      </c>
      <c r="C66" s="370" t="s">
        <v>97</v>
      </c>
      <c r="D66" s="9" t="b">
        <v>0</v>
      </c>
      <c r="E66" s="14" t="s">
        <v>69</v>
      </c>
      <c r="F66" s="15">
        <v>6</v>
      </c>
      <c r="G66" s="166">
        <v>3</v>
      </c>
      <c r="H66" s="16" t="s">
        <v>69</v>
      </c>
      <c r="I66" s="15">
        <v>6</v>
      </c>
      <c r="J66" s="17">
        <v>3</v>
      </c>
      <c r="K66" s="250" t="str">
        <f t="shared" si="1"/>
        <v>--</v>
      </c>
      <c r="L66" s="333">
        <v>2</v>
      </c>
      <c r="M66" s="52" t="str">
        <f>Adaptación!G73</f>
        <v/>
      </c>
    </row>
    <row r="67" spans="1:13" ht="24.95" customHeight="1" x14ac:dyDescent="0.25">
      <c r="A67" s="370">
        <v>9</v>
      </c>
      <c r="B67" s="370" t="str">
        <f t="shared" si="4"/>
        <v/>
      </c>
      <c r="C67" s="370" t="s">
        <v>97</v>
      </c>
      <c r="D67" s="9" t="b">
        <v>0</v>
      </c>
      <c r="E67" s="14" t="s">
        <v>71</v>
      </c>
      <c r="F67" s="15">
        <v>6</v>
      </c>
      <c r="G67" s="166">
        <v>3</v>
      </c>
      <c r="H67" s="16" t="s">
        <v>71</v>
      </c>
      <c r="I67" s="15">
        <v>6</v>
      </c>
      <c r="J67" s="17">
        <v>4</v>
      </c>
      <c r="K67" s="250" t="str">
        <f t="shared" si="1"/>
        <v>--</v>
      </c>
      <c r="L67" s="52">
        <v>1</v>
      </c>
      <c r="M67" s="52" t="str">
        <f>Adaptación!G77</f>
        <v/>
      </c>
    </row>
    <row r="68" spans="1:13" ht="24.95" customHeight="1" x14ac:dyDescent="0.25">
      <c r="A68" s="370">
        <v>9</v>
      </c>
      <c r="B68" s="370" t="str">
        <f t="shared" si="4"/>
        <v/>
      </c>
      <c r="C68" s="370" t="s">
        <v>97</v>
      </c>
      <c r="D68" s="9" t="b">
        <v>0</v>
      </c>
      <c r="E68" s="14" t="s">
        <v>72</v>
      </c>
      <c r="F68" s="15">
        <v>6</v>
      </c>
      <c r="G68" s="166">
        <v>3</v>
      </c>
      <c r="H68" s="16" t="s">
        <v>72</v>
      </c>
      <c r="I68" s="15">
        <v>6</v>
      </c>
      <c r="J68" s="17">
        <v>4</v>
      </c>
      <c r="K68" s="250" t="str">
        <f t="shared" si="1"/>
        <v>--</v>
      </c>
      <c r="L68" s="52">
        <v>1</v>
      </c>
      <c r="M68" s="52" t="str">
        <f>Adaptación!G78</f>
        <v/>
      </c>
    </row>
    <row r="69" spans="1:13" ht="24.95" customHeight="1" x14ac:dyDescent="0.25">
      <c r="A69" s="370">
        <v>10</v>
      </c>
      <c r="B69" s="370" t="str">
        <f t="shared" si="4"/>
        <v/>
      </c>
      <c r="C69" s="370" t="s">
        <v>97</v>
      </c>
      <c r="D69" s="9" t="b">
        <v>0</v>
      </c>
      <c r="E69" s="14" t="s">
        <v>64</v>
      </c>
      <c r="F69" s="15">
        <v>3</v>
      </c>
      <c r="G69" s="15">
        <v>4</v>
      </c>
      <c r="H69" s="16" t="s">
        <v>64</v>
      </c>
      <c r="I69" s="15">
        <v>3</v>
      </c>
      <c r="J69" s="17">
        <v>4</v>
      </c>
      <c r="K69" s="250" t="str">
        <f t="shared" si="1"/>
        <v>--</v>
      </c>
      <c r="L69" s="52">
        <v>2</v>
      </c>
      <c r="M69" s="52" t="str">
        <f>Adaptación!G74</f>
        <v/>
      </c>
    </row>
    <row r="70" spans="1:13" ht="24.95" customHeight="1" x14ac:dyDescent="0.25">
      <c r="A70" s="370">
        <v>10</v>
      </c>
      <c r="B70" s="370" t="str">
        <f t="shared" si="4"/>
        <v/>
      </c>
      <c r="C70" s="370" t="s">
        <v>97</v>
      </c>
      <c r="D70" s="9" t="b">
        <v>0</v>
      </c>
      <c r="E70" s="14" t="s">
        <v>66</v>
      </c>
      <c r="F70" s="15">
        <v>6</v>
      </c>
      <c r="G70" s="15">
        <v>4</v>
      </c>
      <c r="H70" s="16" t="s">
        <v>51</v>
      </c>
      <c r="I70" s="15">
        <v>6</v>
      </c>
      <c r="J70" s="17">
        <v>3</v>
      </c>
      <c r="K70" s="250" t="str">
        <f t="shared" si="1"/>
        <v>--</v>
      </c>
      <c r="L70" s="52">
        <v>2</v>
      </c>
      <c r="M70" s="52" t="str">
        <f>Adaptación!G71</f>
        <v>?</v>
      </c>
    </row>
    <row r="71" spans="1:13" ht="24.95" customHeight="1" x14ac:dyDescent="0.25">
      <c r="A71" s="370">
        <v>10</v>
      </c>
      <c r="B71" s="370" t="str">
        <f t="shared" si="4"/>
        <v/>
      </c>
      <c r="C71" s="370" t="s">
        <v>97</v>
      </c>
      <c r="D71" s="9" t="b">
        <v>0</v>
      </c>
      <c r="E71" s="14" t="s">
        <v>67</v>
      </c>
      <c r="F71" s="15">
        <v>6</v>
      </c>
      <c r="G71" s="15">
        <v>4</v>
      </c>
      <c r="H71" s="16" t="s">
        <v>53</v>
      </c>
      <c r="I71" s="15">
        <v>6</v>
      </c>
      <c r="J71" s="17">
        <v>3</v>
      </c>
      <c r="K71" s="250" t="str">
        <f t="shared" si="1"/>
        <v>--</v>
      </c>
      <c r="L71" s="52">
        <v>1</v>
      </c>
      <c r="M71" s="52" t="s">
        <v>193</v>
      </c>
    </row>
    <row r="72" spans="1:13" ht="24.95" customHeight="1" x14ac:dyDescent="0.25">
      <c r="A72" s="370">
        <v>10</v>
      </c>
      <c r="B72" s="370" t="str">
        <f t="shared" si="4"/>
        <v/>
      </c>
      <c r="C72" s="370" t="s">
        <v>97</v>
      </c>
      <c r="D72" s="9" t="b">
        <v>0</v>
      </c>
      <c r="E72" s="14" t="s">
        <v>68</v>
      </c>
      <c r="F72" s="15">
        <v>3</v>
      </c>
      <c r="G72" s="15">
        <v>4</v>
      </c>
      <c r="H72" s="16" t="s">
        <v>68</v>
      </c>
      <c r="I72" s="15">
        <v>3</v>
      </c>
      <c r="J72" s="17">
        <v>4</v>
      </c>
      <c r="K72" s="250" t="str">
        <f t="shared" si="1"/>
        <v>--</v>
      </c>
      <c r="L72" s="52">
        <v>2</v>
      </c>
      <c r="M72" s="52" t="str">
        <f>Adaptación!G75</f>
        <v/>
      </c>
    </row>
    <row r="73" spans="1:13" ht="24.95" customHeight="1" x14ac:dyDescent="0.25">
      <c r="A73" s="370">
        <v>10</v>
      </c>
      <c r="B73" s="370" t="str">
        <f t="shared" si="4"/>
        <v/>
      </c>
      <c r="C73" s="370" t="s">
        <v>97</v>
      </c>
      <c r="D73" s="9" t="b">
        <v>0</v>
      </c>
      <c r="E73" s="27" t="s">
        <v>70</v>
      </c>
      <c r="F73" s="28">
        <v>6</v>
      </c>
      <c r="G73" s="28">
        <v>4</v>
      </c>
      <c r="H73" s="29" t="s">
        <v>70</v>
      </c>
      <c r="I73" s="28">
        <v>6</v>
      </c>
      <c r="J73" s="30">
        <v>4</v>
      </c>
      <c r="K73" s="251" t="str">
        <f t="shared" si="1"/>
        <v>--</v>
      </c>
      <c r="L73" s="52">
        <v>1</v>
      </c>
      <c r="M73" s="52" t="str">
        <f>Adaptación!G76</f>
        <v/>
      </c>
    </row>
    <row r="74" spans="1:13" ht="16.5" thickBot="1" x14ac:dyDescent="0.3">
      <c r="A74" s="370"/>
      <c r="B74" s="370"/>
      <c r="C74" s="404"/>
      <c r="D74" s="9" t="b">
        <v>0</v>
      </c>
      <c r="E74" s="14"/>
      <c r="F74" s="15"/>
      <c r="G74" s="15"/>
      <c r="H74" s="16"/>
      <c r="I74" s="15"/>
      <c r="J74" s="17"/>
      <c r="K74" s="252" t="str">
        <f>IF($D74,"Adaptable",   "--")</f>
        <v>--</v>
      </c>
      <c r="L74" s="52"/>
      <c r="M74" s="52"/>
    </row>
    <row r="75" spans="1:13" ht="16.5" thickBot="1" x14ac:dyDescent="0.3">
      <c r="D75" s="1" t="str">
        <f>IF(I4="","Por favor, rellene nombre completo del alumno/a","")</f>
        <v>Por favor, rellene nombre completo del alumno/a</v>
      </c>
      <c r="H75" s="72" t="s">
        <v>133</v>
      </c>
      <c r="I75" s="128" t="s">
        <v>90</v>
      </c>
    </row>
    <row r="76" spans="1:13" x14ac:dyDescent="0.25">
      <c r="D76" s="1" t="str">
        <f>IF(F4="","Por favor, rellene DNI","")</f>
        <v>Por favor, rellene DNI</v>
      </c>
      <c r="H76" s="31" t="s">
        <v>86</v>
      </c>
      <c r="I76" s="32">
        <f>SUMIFS(Tabla1[[ECTS ]],Tabla1[marcar las superadas],"verdadero",Tabla1[[Curso ]],"1")</f>
        <v>0</v>
      </c>
    </row>
    <row r="77" spans="1:13" x14ac:dyDescent="0.25">
      <c r="D77" s="408" t="str">
        <f>IF(I77=57,"&lt;Falta cursar asig, nueva de 2º&gt;","")</f>
        <v/>
      </c>
      <c r="H77" s="33" t="s">
        <v>87</v>
      </c>
      <c r="I77" s="34">
        <f>SUMIFS(Tabla1[[ECTS ]],Tabla1[marcar las superadas],"verdadero",Tabla1[[Curso ]],"2")</f>
        <v>0</v>
      </c>
    </row>
    <row r="78" spans="1:13" x14ac:dyDescent="0.25">
      <c r="H78" s="33" t="s">
        <v>88</v>
      </c>
      <c r="I78" s="34">
        <f>Adaptación!C91</f>
        <v>0</v>
      </c>
      <c r="J78" s="342"/>
    </row>
    <row r="79" spans="1:13" x14ac:dyDescent="0.25">
      <c r="H79" s="33" t="s">
        <v>89</v>
      </c>
      <c r="I79" s="34">
        <f>Adaptación!C92</f>
        <v>0</v>
      </c>
      <c r="J79" s="342"/>
      <c r="K79" s="35"/>
    </row>
    <row r="80" spans="1:13" ht="16.5" thickBot="1" x14ac:dyDescent="0.3">
      <c r="H80" s="36" t="s">
        <v>91</v>
      </c>
      <c r="I80" s="37">
        <f>L3</f>
        <v>0</v>
      </c>
      <c r="J80" s="38"/>
      <c r="K80" s="35"/>
    </row>
    <row r="81" spans="4:11" x14ac:dyDescent="0.25">
      <c r="H81" s="39" t="s">
        <v>182</v>
      </c>
      <c r="I81" s="40">
        <f>I8</f>
        <v>0</v>
      </c>
      <c r="K81" s="35"/>
    </row>
    <row r="82" spans="4:11" x14ac:dyDescent="0.25">
      <c r="H82" s="39" t="str">
        <f>Adaptación!B96</f>
        <v/>
      </c>
      <c r="I82" s="42" t="str">
        <f>Adaptación!C96</f>
        <v/>
      </c>
      <c r="K82" s="35"/>
    </row>
    <row r="83" spans="4:11" ht="16.5" hidden="1" thickBot="1" x14ac:dyDescent="0.3">
      <c r="I83" s="42"/>
      <c r="K83" s="35"/>
    </row>
    <row r="84" spans="4:11" ht="16.5" hidden="1" thickBot="1" x14ac:dyDescent="0.3">
      <c r="H84" s="435" t="str">
        <f>IF(   F5&lt;4,    VLOOKUP(F5,Tabla2[],2,FALSE),   "NO HA INDICADO LA MENCIÓN")</f>
        <v>NO HA INDICADO LA MENCIÓN</v>
      </c>
      <c r="I84" s="436"/>
      <c r="J84" s="364" t="str">
        <f>Adaptación!D100</f>
        <v>--</v>
      </c>
      <c r="K84" s="35"/>
    </row>
    <row r="85" spans="4:11" hidden="1" x14ac:dyDescent="0.25">
      <c r="H85" s="43" t="s">
        <v>103</v>
      </c>
      <c r="I85" s="44">
        <f>SUMIFS(Tabla1[[ECTS ]],Tabla1[ADAPTACIÓN],"Adaptable",Tabla1[TIPO],$J$84)</f>
        <v>0</v>
      </c>
      <c r="J85" s="405" t="str">
        <f>IF(I85&lt;48,"Incompleta","completa")</f>
        <v>Incompleta</v>
      </c>
    </row>
    <row r="86" spans="4:11" ht="16.5" hidden="1" thickBot="1" x14ac:dyDescent="0.3">
      <c r="H86" s="45" t="s">
        <v>104</v>
      </c>
      <c r="I86" s="46">
        <f>SUMIFS(Tabla1[[ECTS ]],Tabla1[ADAPTACIÓN],"Adaptable",Tabla1[OPT],"P")</f>
        <v>0</v>
      </c>
      <c r="J86" s="405" t="str">
        <f>IF(I86&lt;18,"Incompleta","completa")</f>
        <v>Incompleta</v>
      </c>
    </row>
    <row r="87" spans="4:11" hidden="1" x14ac:dyDescent="0.25"/>
    <row r="88" spans="4:11" ht="16.5" hidden="1" thickBot="1" x14ac:dyDescent="0.3">
      <c r="D88" s="409"/>
      <c r="H88" s="74" t="s">
        <v>124</v>
      </c>
      <c r="I88" s="47"/>
      <c r="J88" s="48"/>
      <c r="K88" s="49" t="s">
        <v>110</v>
      </c>
    </row>
    <row r="89" spans="4:11" hidden="1" x14ac:dyDescent="0.25">
      <c r="D89" s="410">
        <f>COUNTIFS(Tabla1[marcar las superadas],"verdadero",Tabla1[OPT],"P",Tabla1[TIPO],"CV")</f>
        <v>0</v>
      </c>
      <c r="E89" s="50" t="s">
        <v>126</v>
      </c>
      <c r="F89" s="50" t="s">
        <v>109</v>
      </c>
      <c r="G89" s="134" t="str">
        <f>CONCATENATE(D89&amp;" "&amp;E89)</f>
        <v>0 asig.</v>
      </c>
      <c r="H89" s="135" t="str">
        <f>IF( AND(D89&gt;0,$I$85+$I$80&gt;23),"- a través de CONSTRUCCIONES CIVILES.","")</f>
        <v/>
      </c>
      <c r="I89" s="76">
        <f>SUMIFS(Tabla1[[ECTS ]],Tabla1[ADAPTACIÓN],"Adaptable",Tabla1[OPT],"P",Tabla1[TIPO],"CV")</f>
        <v>0</v>
      </c>
      <c r="J89" s="76" t="s">
        <v>125</v>
      </c>
      <c r="K89" s="1">
        <f>I90+I91+I92</f>
        <v>0</v>
      </c>
    </row>
    <row r="90" spans="4:11" hidden="1" x14ac:dyDescent="0.25">
      <c r="D90" s="410">
        <f>COUNTIFS(Tabla1[marcar las superadas],"verdadero",Tabla1[OPT],"P",Tabla1[TIPO],"HI")</f>
        <v>0</v>
      </c>
      <c r="E90" s="50" t="s">
        <v>126</v>
      </c>
      <c r="F90" s="50" t="s">
        <v>96</v>
      </c>
      <c r="G90" s="77" t="str">
        <f>CONCATENATE(D90&amp;" "&amp;E90)</f>
        <v>0 asig.</v>
      </c>
      <c r="H90" s="47" t="str">
        <f>IF( AND(D90&gt;0,$I$85+$I$80&gt;23),"- a través de HIDROLOGÍA.","")</f>
        <v/>
      </c>
      <c r="I90" s="1">
        <f>SUMIFS(Tabla1[[ECTS ]],Tabla1[ADAPTACIÓN],"Adaptable",Tabla1[OPT],"P",Tabla1[TIPO],"HI")</f>
        <v>0</v>
      </c>
      <c r="J90" s="1" t="s">
        <v>125</v>
      </c>
    </row>
    <row r="91" spans="4:11" hidden="1" x14ac:dyDescent="0.25">
      <c r="D91" s="410">
        <f>COUNTIFS(Tabla1[marcar las superadas],"verdadero",Tabla1[OPT],"P",Tabla1[TIPO],"TR")</f>
        <v>0</v>
      </c>
      <c r="E91" s="50" t="s">
        <v>126</v>
      </c>
      <c r="F91" s="50" t="s">
        <v>97</v>
      </c>
      <c r="G91" s="77" t="str">
        <f>CONCATENATE(D91&amp;" "&amp;E91)</f>
        <v>0 asig.</v>
      </c>
      <c r="H91" s="47" t="str">
        <f>IF( AND(D91&gt;0,$I$85+$I$80&gt;23),"- a través de TRANSPORTES Y SERVICIOS.","")</f>
        <v/>
      </c>
      <c r="I91" s="1">
        <f>SUMIFS(Tabla1[[ECTS ]],Tabla1[ADAPTACIÓN],"Adaptable",Tabla1[OPT],"P",Tabla1[TIPO],"TR")</f>
        <v>0</v>
      </c>
      <c r="J91" s="1" t="s">
        <v>125</v>
      </c>
    </row>
    <row r="92" spans="4:11" hidden="1" x14ac:dyDescent="0.25">
      <c r="D92" s="410">
        <f>COUNTIFS(Tabla1[marcar las superadas],"verdadero",Tabla1[OPT],"P",Tabla1[ASIGNATURAS Plan 2010],"Prácticas*")</f>
        <v>0</v>
      </c>
      <c r="E92" s="50" t="s">
        <v>127</v>
      </c>
      <c r="H92" s="1" t="str">
        <f>IF(D92&gt;0, "- Con Prácticas Externas","")</f>
        <v/>
      </c>
      <c r="I92" s="1">
        <f>IF(D92&gt;0,6,0)</f>
        <v>0</v>
      </c>
      <c r="J92" s="1" t="s">
        <v>125</v>
      </c>
    </row>
    <row r="93" spans="4:11" ht="16.5" hidden="1" thickBot="1" x14ac:dyDescent="0.3">
      <c r="D93" s="411">
        <f>I80</f>
        <v>0</v>
      </c>
      <c r="E93" s="50"/>
      <c r="H93" s="1" t="str">
        <f>IF(I80&gt;0, "- Optatividad adicional","")</f>
        <v/>
      </c>
      <c r="I93" s="78" t="b">
        <f>IF(I80&gt;0,I80)</f>
        <v>0</v>
      </c>
      <c r="J93" s="78" t="s">
        <v>125</v>
      </c>
    </row>
    <row r="94" spans="4:11" ht="16.5" hidden="1" thickTop="1" x14ac:dyDescent="0.25">
      <c r="I94" s="74">
        <f>SUM(I89:I93)</f>
        <v>0</v>
      </c>
      <c r="J94" s="74" t="s">
        <v>128</v>
      </c>
    </row>
    <row r="95" spans="4:11" ht="16.5" thickBot="1" x14ac:dyDescent="0.3"/>
    <row r="96" spans="4:11" ht="64.5" customHeight="1" thickBot="1" x14ac:dyDescent="0.3">
      <c r="E96" s="447" t="s">
        <v>194</v>
      </c>
      <c r="F96" s="448"/>
      <c r="G96" s="308"/>
      <c r="H96" s="423" t="s">
        <v>197</v>
      </c>
      <c r="I96" s="424"/>
      <c r="J96" s="424"/>
      <c r="K96" s="425"/>
    </row>
    <row r="97" spans="8:18" ht="60" customHeight="1" thickBot="1" x14ac:dyDescent="0.3">
      <c r="H97" s="310"/>
      <c r="I97" s="310"/>
      <c r="J97" s="310"/>
      <c r="K97" s="310"/>
    </row>
    <row r="98" spans="8:18" ht="61.5" hidden="1" customHeight="1" thickBot="1" x14ac:dyDescent="0.3">
      <c r="H98" s="420" t="s">
        <v>188</v>
      </c>
      <c r="I98" s="421"/>
      <c r="J98" s="421"/>
      <c r="K98" s="422"/>
    </row>
    <row r="99" spans="8:18" ht="61.5" customHeight="1" thickBot="1" x14ac:dyDescent="0.3">
      <c r="H99" s="426" t="s">
        <v>195</v>
      </c>
      <c r="I99" s="427"/>
      <c r="J99" s="427"/>
      <c r="K99" s="428"/>
    </row>
    <row r="100" spans="8:18" ht="54" hidden="1" customHeight="1" thickBot="1" x14ac:dyDescent="0.3">
      <c r="H100" s="429" t="s">
        <v>187</v>
      </c>
      <c r="I100" s="430"/>
      <c r="J100" s="430"/>
      <c r="K100" s="431"/>
      <c r="L100" s="309"/>
      <c r="M100" s="309"/>
      <c r="N100" s="309"/>
      <c r="O100" s="309"/>
      <c r="P100" s="309"/>
      <c r="Q100" s="309"/>
      <c r="R100" s="309"/>
    </row>
    <row r="105" spans="8:18" ht="19.5" customHeight="1" x14ac:dyDescent="0.25"/>
  </sheetData>
  <sheetProtection algorithmName="SHA-512" hashValue="XdATSms0XooYAt6ql46Zo2ykx5rqibl8VCNYE3vO3gOvSNLzuxWi7SW4H5/ESpPrL0BdT5vZV11N/f8CKmPS5w==" saltValue="Bpom8NM5w7u6q8I9cqC7jA==" spinCount="100000" sheet="1" objects="1" scenarios="1"/>
  <mergeCells count="14">
    <mergeCell ref="H98:K98"/>
    <mergeCell ref="H96:K96"/>
    <mergeCell ref="H99:K99"/>
    <mergeCell ref="H100:K100"/>
    <mergeCell ref="E2:K2"/>
    <mergeCell ref="H84:I84"/>
    <mergeCell ref="E3:K3"/>
    <mergeCell ref="F5:H5"/>
    <mergeCell ref="E7:G7"/>
    <mergeCell ref="J8:K8"/>
    <mergeCell ref="E6:K6"/>
    <mergeCell ref="F4:G4"/>
    <mergeCell ref="I4:K4"/>
    <mergeCell ref="E96:F96"/>
  </mergeCells>
  <phoneticPr fontId="19" type="noConversion"/>
  <conditionalFormatting sqref="D2">
    <cfRule type="cellIs" dxfId="88" priority="6" operator="notEqual">
      <formula>"xx"</formula>
    </cfRule>
  </conditionalFormatting>
  <conditionalFormatting sqref="D75:D76">
    <cfRule type="cellIs" dxfId="87" priority="12" operator="notEqual">
      <formula>""</formula>
    </cfRule>
  </conditionalFormatting>
  <conditionalFormatting sqref="D88 I88:I89 H89:I91">
    <cfRule type="expression" dxfId="86" priority="27">
      <formula>$D$88&lt;&gt;""</formula>
    </cfRule>
  </conditionalFormatting>
  <conditionalFormatting sqref="E10:E74">
    <cfRule type="expression" dxfId="85" priority="24">
      <formula>$D10</formula>
    </cfRule>
  </conditionalFormatting>
  <conditionalFormatting sqref="G89:G91">
    <cfRule type="cellIs" dxfId="84" priority="14" operator="greaterThan">
      <formula>0</formula>
    </cfRule>
  </conditionalFormatting>
  <conditionalFormatting sqref="H10:H49 H51:H53 H55:H63 H65:H73">
    <cfRule type="expression" dxfId="83" priority="23">
      <formula>$D10</formula>
    </cfRule>
  </conditionalFormatting>
  <conditionalFormatting sqref="H50">
    <cfRule type="expression" dxfId="82" priority="33">
      <formula>#REF!</formula>
    </cfRule>
  </conditionalFormatting>
  <conditionalFormatting sqref="H54">
    <cfRule type="expression" dxfId="81" priority="32">
      <formula>$D50</formula>
    </cfRule>
  </conditionalFormatting>
  <conditionalFormatting sqref="H64">
    <cfRule type="expression" dxfId="80" priority="42">
      <formula>$D61</formula>
    </cfRule>
  </conditionalFormatting>
  <conditionalFormatting sqref="H84:I84">
    <cfRule type="cellIs" dxfId="79" priority="13" operator="equal">
      <formula>"NO HA INDICADO LA MENCIÓN"</formula>
    </cfRule>
  </conditionalFormatting>
  <conditionalFormatting sqref="J88">
    <cfRule type="cellIs" dxfId="78" priority="15" operator="greaterThan">
      <formula>0</formula>
    </cfRule>
  </conditionalFormatting>
  <conditionalFormatting sqref="K88">
    <cfRule type="expression" dxfId="77" priority="16">
      <formula>$J$88&gt;0</formula>
    </cfRule>
  </conditionalFormatting>
  <pageMargins left="0.70866141732283472" right="0.70866141732283472" top="0.74803149606299213" bottom="0.74803149606299213" header="0.31496062992125984" footer="0.31496062992125984"/>
  <pageSetup paperSize="9" scale="3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6" r:id="rId4" name="Check Box 62">
              <controlPr defaultSize="0" autoFill="0" autoLine="0" autoPict="0">
                <anchor moveWithCells="1">
                  <from>
                    <xdr:col>3</xdr:col>
                    <xdr:colOff>704850</xdr:colOff>
                    <xdr:row>9</xdr:row>
                    <xdr:rowOff>0</xdr:rowOff>
                  </from>
                  <to>
                    <xdr:col>3</xdr:col>
                    <xdr:colOff>1009650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" name="Check Box 63">
              <controlPr defaultSize="0" autoFill="0" autoLine="0" autoPict="0">
                <anchor moveWithCells="1">
                  <from>
                    <xdr:col>3</xdr:col>
                    <xdr:colOff>704850</xdr:colOff>
                    <xdr:row>9</xdr:row>
                    <xdr:rowOff>314325</xdr:rowOff>
                  </from>
                  <to>
                    <xdr:col>3</xdr:col>
                    <xdr:colOff>1009650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" name="Check Box 64">
              <controlPr defaultSize="0" autoFill="0" autoLine="0" autoPict="0">
                <anchor moveWithCells="1">
                  <from>
                    <xdr:col>3</xdr:col>
                    <xdr:colOff>704850</xdr:colOff>
                    <xdr:row>11</xdr:row>
                    <xdr:rowOff>314325</xdr:rowOff>
                  </from>
                  <to>
                    <xdr:col>3</xdr:col>
                    <xdr:colOff>1009650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7" name="Check Box 65">
              <controlPr defaultSize="0" autoFill="0" autoLine="0" autoPict="0">
                <anchor moveWithCells="1">
                  <from>
                    <xdr:col>3</xdr:col>
                    <xdr:colOff>704850</xdr:colOff>
                    <xdr:row>12</xdr:row>
                    <xdr:rowOff>314325</xdr:rowOff>
                  </from>
                  <to>
                    <xdr:col>3</xdr:col>
                    <xdr:colOff>1009650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8" name="Check Box 66">
              <controlPr defaultSize="0" autoFill="0" autoLine="0" autoPict="0">
                <anchor moveWithCells="1">
                  <from>
                    <xdr:col>3</xdr:col>
                    <xdr:colOff>704850</xdr:colOff>
                    <xdr:row>13</xdr:row>
                    <xdr:rowOff>314325</xdr:rowOff>
                  </from>
                  <to>
                    <xdr:col>3</xdr:col>
                    <xdr:colOff>1009650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9" name="Check Box 67">
              <controlPr defaultSize="0" autoFill="0" autoLine="0" autoPict="0">
                <anchor moveWithCells="1">
                  <from>
                    <xdr:col>3</xdr:col>
                    <xdr:colOff>704850</xdr:colOff>
                    <xdr:row>14</xdr:row>
                    <xdr:rowOff>314325</xdr:rowOff>
                  </from>
                  <to>
                    <xdr:col>3</xdr:col>
                    <xdr:colOff>1009650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0" name="Check Box 68">
              <controlPr defaultSize="0" autoFill="0" autoLine="0" autoPict="0">
                <anchor moveWithCells="1">
                  <from>
                    <xdr:col>3</xdr:col>
                    <xdr:colOff>704850</xdr:colOff>
                    <xdr:row>15</xdr:row>
                    <xdr:rowOff>314325</xdr:rowOff>
                  </from>
                  <to>
                    <xdr:col>3</xdr:col>
                    <xdr:colOff>1009650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1" name="Check Box 69">
              <controlPr defaultSize="0" autoFill="0" autoLine="0" autoPict="0">
                <anchor moveWithCells="1">
                  <from>
                    <xdr:col>3</xdr:col>
                    <xdr:colOff>704850</xdr:colOff>
                    <xdr:row>20</xdr:row>
                    <xdr:rowOff>314325</xdr:rowOff>
                  </from>
                  <to>
                    <xdr:col>3</xdr:col>
                    <xdr:colOff>1009650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2" name="Check Box 70">
              <controlPr defaultSize="0" autoFill="0" autoLine="0" autoPict="0">
                <anchor moveWithCells="1">
                  <from>
                    <xdr:col>3</xdr:col>
                    <xdr:colOff>704850</xdr:colOff>
                    <xdr:row>16</xdr:row>
                    <xdr:rowOff>314325</xdr:rowOff>
                  </from>
                  <to>
                    <xdr:col>3</xdr:col>
                    <xdr:colOff>1009650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3" name="Check Box 71">
              <controlPr defaultSize="0" autoFill="0" autoLine="0" autoPict="0">
                <anchor moveWithCells="1">
                  <from>
                    <xdr:col>3</xdr:col>
                    <xdr:colOff>704850</xdr:colOff>
                    <xdr:row>21</xdr:row>
                    <xdr:rowOff>314325</xdr:rowOff>
                  </from>
                  <to>
                    <xdr:col>3</xdr:col>
                    <xdr:colOff>1009650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4" name="Check Box 72">
              <controlPr defaultSize="0" autoFill="0" autoLine="0" autoPict="0">
                <anchor moveWithCells="1">
                  <from>
                    <xdr:col>3</xdr:col>
                    <xdr:colOff>704850</xdr:colOff>
                    <xdr:row>17</xdr:row>
                    <xdr:rowOff>314325</xdr:rowOff>
                  </from>
                  <to>
                    <xdr:col>3</xdr:col>
                    <xdr:colOff>1009650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5" name="Check Box 77">
              <controlPr defaultSize="0" autoFill="0" autoLine="0" autoPict="0">
                <anchor moveWithCells="1">
                  <from>
                    <xdr:col>3</xdr:col>
                    <xdr:colOff>704850</xdr:colOff>
                    <xdr:row>34</xdr:row>
                    <xdr:rowOff>314325</xdr:rowOff>
                  </from>
                  <to>
                    <xdr:col>3</xdr:col>
                    <xdr:colOff>1009650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6" name="Check Box 78">
              <controlPr defaultSize="0" autoFill="0" autoLine="0" autoPict="0">
                <anchor moveWithCells="1">
                  <from>
                    <xdr:col>3</xdr:col>
                    <xdr:colOff>704850</xdr:colOff>
                    <xdr:row>34</xdr:row>
                    <xdr:rowOff>314325</xdr:rowOff>
                  </from>
                  <to>
                    <xdr:col>3</xdr:col>
                    <xdr:colOff>1009650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7" name="Check Box 79">
              <controlPr defaultSize="0" autoFill="0" autoLine="0" autoPict="0">
                <anchor moveWithCells="1">
                  <from>
                    <xdr:col>3</xdr:col>
                    <xdr:colOff>704850</xdr:colOff>
                    <xdr:row>35</xdr:row>
                    <xdr:rowOff>314325</xdr:rowOff>
                  </from>
                  <to>
                    <xdr:col>3</xdr:col>
                    <xdr:colOff>1009650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8" name="Check Box 80">
              <controlPr defaultSize="0" autoFill="0" autoLine="0" autoPict="0">
                <anchor moveWithCells="1">
                  <from>
                    <xdr:col>3</xdr:col>
                    <xdr:colOff>704850</xdr:colOff>
                    <xdr:row>17</xdr:row>
                    <xdr:rowOff>314325</xdr:rowOff>
                  </from>
                  <to>
                    <xdr:col>3</xdr:col>
                    <xdr:colOff>1009650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9" name="Check Box 81">
              <controlPr defaultSize="0" autoFill="0" autoLine="0" autoPict="0">
                <anchor moveWithCells="1">
                  <from>
                    <xdr:col>3</xdr:col>
                    <xdr:colOff>704850</xdr:colOff>
                    <xdr:row>18</xdr:row>
                    <xdr:rowOff>314325</xdr:rowOff>
                  </from>
                  <to>
                    <xdr:col>3</xdr:col>
                    <xdr:colOff>1009650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0" name="Check Box 82">
              <controlPr defaultSize="0" autoFill="0" autoLine="0" autoPict="0">
                <anchor moveWithCells="1">
                  <from>
                    <xdr:col>3</xdr:col>
                    <xdr:colOff>704850</xdr:colOff>
                    <xdr:row>18</xdr:row>
                    <xdr:rowOff>314325</xdr:rowOff>
                  </from>
                  <to>
                    <xdr:col>3</xdr:col>
                    <xdr:colOff>1009650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1" name="Check Box 83">
              <controlPr defaultSize="0" autoFill="0" autoLine="0" autoPict="0">
                <anchor moveWithCells="1">
                  <from>
                    <xdr:col>3</xdr:col>
                    <xdr:colOff>704850</xdr:colOff>
                    <xdr:row>18</xdr:row>
                    <xdr:rowOff>314325</xdr:rowOff>
                  </from>
                  <to>
                    <xdr:col>3</xdr:col>
                    <xdr:colOff>1009650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2" name="Check Box 87">
              <controlPr defaultSize="0" autoFill="0" autoLine="0" autoPict="0">
                <anchor moveWithCells="1">
                  <from>
                    <xdr:col>3</xdr:col>
                    <xdr:colOff>704850</xdr:colOff>
                    <xdr:row>40</xdr:row>
                    <xdr:rowOff>314325</xdr:rowOff>
                  </from>
                  <to>
                    <xdr:col>3</xdr:col>
                    <xdr:colOff>1009650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3" name="Check Box 88">
              <controlPr defaultSize="0" autoFill="0" autoLine="0" autoPict="0">
                <anchor moveWithCells="1">
                  <from>
                    <xdr:col>3</xdr:col>
                    <xdr:colOff>704850</xdr:colOff>
                    <xdr:row>23</xdr:row>
                    <xdr:rowOff>314325</xdr:rowOff>
                  </from>
                  <to>
                    <xdr:col>3</xdr:col>
                    <xdr:colOff>1009650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4" name="Check Box 89">
              <controlPr defaultSize="0" autoFill="0" autoLine="0" autoPict="0">
                <anchor moveWithCells="1">
                  <from>
                    <xdr:col>3</xdr:col>
                    <xdr:colOff>704850</xdr:colOff>
                    <xdr:row>25</xdr:row>
                    <xdr:rowOff>314325</xdr:rowOff>
                  </from>
                  <to>
                    <xdr:col>3</xdr:col>
                    <xdr:colOff>1009650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5" name="Check Box 90">
              <controlPr defaultSize="0" autoFill="0" autoLine="0" autoPict="0">
                <anchor moveWithCells="1">
                  <from>
                    <xdr:col>3</xdr:col>
                    <xdr:colOff>704850</xdr:colOff>
                    <xdr:row>26</xdr:row>
                    <xdr:rowOff>314325</xdr:rowOff>
                  </from>
                  <to>
                    <xdr:col>3</xdr:col>
                    <xdr:colOff>1009650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6" name="Check Box 91">
              <controlPr defaultSize="0" autoFill="0" autoLine="0" autoPict="0">
                <anchor moveWithCells="1">
                  <from>
                    <xdr:col>3</xdr:col>
                    <xdr:colOff>704850</xdr:colOff>
                    <xdr:row>27</xdr:row>
                    <xdr:rowOff>314325</xdr:rowOff>
                  </from>
                  <to>
                    <xdr:col>3</xdr:col>
                    <xdr:colOff>1009650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7" name="Check Box 92">
              <controlPr defaultSize="0" autoFill="0" autoLine="0" autoPict="0">
                <anchor moveWithCells="1">
                  <from>
                    <xdr:col>3</xdr:col>
                    <xdr:colOff>704850</xdr:colOff>
                    <xdr:row>36</xdr:row>
                    <xdr:rowOff>314325</xdr:rowOff>
                  </from>
                  <to>
                    <xdr:col>3</xdr:col>
                    <xdr:colOff>1009650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8" name="Check Box 93">
              <controlPr defaultSize="0" autoFill="0" autoLine="0" autoPict="0">
                <anchor moveWithCells="1">
                  <from>
                    <xdr:col>3</xdr:col>
                    <xdr:colOff>704850</xdr:colOff>
                    <xdr:row>37</xdr:row>
                    <xdr:rowOff>314325</xdr:rowOff>
                  </from>
                  <to>
                    <xdr:col>3</xdr:col>
                    <xdr:colOff>1009650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9" name="Check Box 94">
              <controlPr defaultSize="0" autoFill="0" autoLine="0" autoPict="0">
                <anchor moveWithCells="1">
                  <from>
                    <xdr:col>3</xdr:col>
                    <xdr:colOff>704850</xdr:colOff>
                    <xdr:row>41</xdr:row>
                    <xdr:rowOff>314325</xdr:rowOff>
                  </from>
                  <to>
                    <xdr:col>3</xdr:col>
                    <xdr:colOff>1009650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0" name="Check Box 95">
              <controlPr defaultSize="0" autoFill="0" autoLine="0" autoPict="0">
                <anchor moveWithCells="1">
                  <from>
                    <xdr:col>3</xdr:col>
                    <xdr:colOff>704850</xdr:colOff>
                    <xdr:row>28</xdr:row>
                    <xdr:rowOff>314325</xdr:rowOff>
                  </from>
                  <to>
                    <xdr:col>3</xdr:col>
                    <xdr:colOff>1009650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1" name="Check Box 96">
              <controlPr defaultSize="0" autoFill="0" autoLine="0" autoPict="0">
                <anchor moveWithCells="1">
                  <from>
                    <xdr:col>3</xdr:col>
                    <xdr:colOff>704850</xdr:colOff>
                    <xdr:row>29</xdr:row>
                    <xdr:rowOff>314325</xdr:rowOff>
                  </from>
                  <to>
                    <xdr:col>3</xdr:col>
                    <xdr:colOff>1009650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2" name="Check Box 97">
              <controlPr defaultSize="0" autoFill="0" autoLine="0" autoPict="0">
                <anchor moveWithCells="1">
                  <from>
                    <xdr:col>3</xdr:col>
                    <xdr:colOff>704850</xdr:colOff>
                    <xdr:row>30</xdr:row>
                    <xdr:rowOff>314325</xdr:rowOff>
                  </from>
                  <to>
                    <xdr:col>3</xdr:col>
                    <xdr:colOff>1009650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3" name="Check Box 98">
              <controlPr defaultSize="0" autoFill="0" autoLine="0" autoPict="0">
                <anchor moveWithCells="1">
                  <from>
                    <xdr:col>3</xdr:col>
                    <xdr:colOff>704850</xdr:colOff>
                    <xdr:row>19</xdr:row>
                    <xdr:rowOff>314325</xdr:rowOff>
                  </from>
                  <to>
                    <xdr:col>3</xdr:col>
                    <xdr:colOff>1009650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4" name="Check Box 99">
              <controlPr defaultSize="0" autoFill="0" autoLine="0" autoPict="0">
                <anchor moveWithCells="1">
                  <from>
                    <xdr:col>3</xdr:col>
                    <xdr:colOff>704850</xdr:colOff>
                    <xdr:row>38</xdr:row>
                    <xdr:rowOff>314325</xdr:rowOff>
                  </from>
                  <to>
                    <xdr:col>3</xdr:col>
                    <xdr:colOff>1009650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5" name="Check Box 102">
              <controlPr defaultSize="0" autoFill="0" autoLine="0" autoPict="0">
                <anchor moveWithCells="1">
                  <from>
                    <xdr:col>3</xdr:col>
                    <xdr:colOff>704850</xdr:colOff>
                    <xdr:row>44</xdr:row>
                    <xdr:rowOff>314325</xdr:rowOff>
                  </from>
                  <to>
                    <xdr:col>3</xdr:col>
                    <xdr:colOff>1009650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6" name="Check Box 103">
              <controlPr defaultSize="0" autoFill="0" autoLine="0" autoPict="0">
                <anchor moveWithCells="1">
                  <from>
                    <xdr:col>3</xdr:col>
                    <xdr:colOff>704850</xdr:colOff>
                    <xdr:row>49</xdr:row>
                    <xdr:rowOff>314325</xdr:rowOff>
                  </from>
                  <to>
                    <xdr:col>3</xdr:col>
                    <xdr:colOff>1009650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7" name="Check Box 104">
              <controlPr defaultSize="0" autoFill="0" autoLine="0" autoPict="0">
                <anchor moveWithCells="1">
                  <from>
                    <xdr:col>3</xdr:col>
                    <xdr:colOff>704850</xdr:colOff>
                    <xdr:row>50</xdr:row>
                    <xdr:rowOff>314325</xdr:rowOff>
                  </from>
                  <to>
                    <xdr:col>3</xdr:col>
                    <xdr:colOff>1009650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8" name="Check Box 105">
              <controlPr defaultSize="0" autoFill="0" autoLine="0" autoPict="0">
                <anchor moveWithCells="1">
                  <from>
                    <xdr:col>3</xdr:col>
                    <xdr:colOff>704850</xdr:colOff>
                    <xdr:row>51</xdr:row>
                    <xdr:rowOff>314325</xdr:rowOff>
                  </from>
                  <to>
                    <xdr:col>3</xdr:col>
                    <xdr:colOff>1009650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9" name="Check Box 106">
              <controlPr defaultSize="0" autoFill="0" autoLine="0" autoPict="0">
                <anchor moveWithCells="1">
                  <from>
                    <xdr:col>3</xdr:col>
                    <xdr:colOff>704850</xdr:colOff>
                    <xdr:row>45</xdr:row>
                    <xdr:rowOff>314325</xdr:rowOff>
                  </from>
                  <to>
                    <xdr:col>3</xdr:col>
                    <xdr:colOff>1009650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0" name="Check Box 107">
              <controlPr defaultSize="0" autoFill="0" autoLine="0" autoPict="0">
                <anchor moveWithCells="1">
                  <from>
                    <xdr:col>3</xdr:col>
                    <xdr:colOff>704850</xdr:colOff>
                    <xdr:row>46</xdr:row>
                    <xdr:rowOff>314325</xdr:rowOff>
                  </from>
                  <to>
                    <xdr:col>3</xdr:col>
                    <xdr:colOff>1009650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1" name="Check Box 108">
              <controlPr defaultSize="0" autoFill="0" autoLine="0" autoPict="0">
                <anchor moveWithCells="1">
                  <from>
                    <xdr:col>3</xdr:col>
                    <xdr:colOff>704850</xdr:colOff>
                    <xdr:row>48</xdr:row>
                    <xdr:rowOff>314325</xdr:rowOff>
                  </from>
                  <to>
                    <xdr:col>3</xdr:col>
                    <xdr:colOff>1009650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2" name="Check Box 109">
              <controlPr defaultSize="0" autoFill="0" autoLine="0" autoPict="0">
                <anchor moveWithCells="1">
                  <from>
                    <xdr:col>3</xdr:col>
                    <xdr:colOff>704850</xdr:colOff>
                    <xdr:row>47</xdr:row>
                    <xdr:rowOff>314325</xdr:rowOff>
                  </from>
                  <to>
                    <xdr:col>3</xdr:col>
                    <xdr:colOff>1009650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43" name="Check Box 110">
              <controlPr defaultSize="0" autoFill="0" autoLine="0" autoPict="0">
                <anchor moveWithCells="1">
                  <from>
                    <xdr:col>3</xdr:col>
                    <xdr:colOff>704850</xdr:colOff>
                    <xdr:row>49</xdr:row>
                    <xdr:rowOff>314325</xdr:rowOff>
                  </from>
                  <to>
                    <xdr:col>3</xdr:col>
                    <xdr:colOff>1009650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44" name="Check Box 111">
              <controlPr defaultSize="0" autoFill="0" autoLine="0" autoPict="0">
                <anchor moveWithCells="1">
                  <from>
                    <xdr:col>3</xdr:col>
                    <xdr:colOff>704850</xdr:colOff>
                    <xdr:row>54</xdr:row>
                    <xdr:rowOff>314325</xdr:rowOff>
                  </from>
                  <to>
                    <xdr:col>3</xdr:col>
                    <xdr:colOff>1009650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45" name="Check Box 112">
              <controlPr defaultSize="0" autoFill="0" autoLine="0" autoPict="0">
                <anchor moveWithCells="1">
                  <from>
                    <xdr:col>3</xdr:col>
                    <xdr:colOff>704850</xdr:colOff>
                    <xdr:row>55</xdr:row>
                    <xdr:rowOff>314325</xdr:rowOff>
                  </from>
                  <to>
                    <xdr:col>3</xdr:col>
                    <xdr:colOff>1009650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46" name="Check Box 113">
              <controlPr defaultSize="0" autoFill="0" autoLine="0" autoPict="0">
                <anchor moveWithCells="1">
                  <from>
                    <xdr:col>3</xdr:col>
                    <xdr:colOff>704850</xdr:colOff>
                    <xdr:row>56</xdr:row>
                    <xdr:rowOff>314325</xdr:rowOff>
                  </from>
                  <to>
                    <xdr:col>3</xdr:col>
                    <xdr:colOff>1009650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47" name="Check Box 114">
              <controlPr defaultSize="0" autoFill="0" autoLine="0" autoPict="0">
                <anchor moveWithCells="1">
                  <from>
                    <xdr:col>3</xdr:col>
                    <xdr:colOff>704850</xdr:colOff>
                    <xdr:row>57</xdr:row>
                    <xdr:rowOff>314325</xdr:rowOff>
                  </from>
                  <to>
                    <xdr:col>3</xdr:col>
                    <xdr:colOff>1009650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48" name="Check Box 115">
              <controlPr defaultSize="0" autoFill="0" autoLine="0" autoPict="0">
                <anchor moveWithCells="1">
                  <from>
                    <xdr:col>3</xdr:col>
                    <xdr:colOff>704850</xdr:colOff>
                    <xdr:row>58</xdr:row>
                    <xdr:rowOff>314325</xdr:rowOff>
                  </from>
                  <to>
                    <xdr:col>3</xdr:col>
                    <xdr:colOff>1009650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9" name="Check Box 116">
              <controlPr defaultSize="0" autoFill="0" autoLine="0" autoPict="0">
                <anchor moveWithCells="1">
                  <from>
                    <xdr:col>3</xdr:col>
                    <xdr:colOff>704850</xdr:colOff>
                    <xdr:row>61</xdr:row>
                    <xdr:rowOff>0</xdr:rowOff>
                  </from>
                  <to>
                    <xdr:col>3</xdr:col>
                    <xdr:colOff>1009650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0" name="Check Box 117">
              <controlPr defaultSize="0" autoFill="0" autoLine="0" autoPict="0">
                <anchor moveWithCells="1">
                  <from>
                    <xdr:col>3</xdr:col>
                    <xdr:colOff>704850</xdr:colOff>
                    <xdr:row>61</xdr:row>
                    <xdr:rowOff>314325</xdr:rowOff>
                  </from>
                  <to>
                    <xdr:col>3</xdr:col>
                    <xdr:colOff>1009650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51" name="Check Box 118">
              <controlPr defaultSize="0" autoFill="0" autoLine="0" autoPict="0">
                <anchor moveWithCells="1">
                  <from>
                    <xdr:col>3</xdr:col>
                    <xdr:colOff>704850</xdr:colOff>
                    <xdr:row>60</xdr:row>
                    <xdr:rowOff>0</xdr:rowOff>
                  </from>
                  <to>
                    <xdr:col>3</xdr:col>
                    <xdr:colOff>1009650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52" name="Check Box 119">
              <controlPr defaultSize="0" autoFill="0" autoLine="0" autoPict="0">
                <anchor moveWithCells="1">
                  <from>
                    <xdr:col>3</xdr:col>
                    <xdr:colOff>704850</xdr:colOff>
                    <xdr:row>60</xdr:row>
                    <xdr:rowOff>314325</xdr:rowOff>
                  </from>
                  <to>
                    <xdr:col>3</xdr:col>
                    <xdr:colOff>1009650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3" name="Check Box 120">
              <controlPr defaultSize="0" autoFill="0" autoLine="0" autoPict="0">
                <anchor moveWithCells="1">
                  <from>
                    <xdr:col>3</xdr:col>
                    <xdr:colOff>704850</xdr:colOff>
                    <xdr:row>68</xdr:row>
                    <xdr:rowOff>314325</xdr:rowOff>
                  </from>
                  <to>
                    <xdr:col>3</xdr:col>
                    <xdr:colOff>1009650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54" name="Check Box 121">
              <controlPr defaultSize="0" autoFill="0" autoLine="0" autoPict="0">
                <anchor moveWithCells="1">
                  <from>
                    <xdr:col>3</xdr:col>
                    <xdr:colOff>704850</xdr:colOff>
                    <xdr:row>64</xdr:row>
                    <xdr:rowOff>314325</xdr:rowOff>
                  </from>
                  <to>
                    <xdr:col>3</xdr:col>
                    <xdr:colOff>1009650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5" name="Check Box 122">
              <controlPr defaultSize="0" autoFill="0" autoLine="0" autoPict="0">
                <anchor moveWithCells="1">
                  <from>
                    <xdr:col>3</xdr:col>
                    <xdr:colOff>704850</xdr:colOff>
                    <xdr:row>69</xdr:row>
                    <xdr:rowOff>314325</xdr:rowOff>
                  </from>
                  <to>
                    <xdr:col>3</xdr:col>
                    <xdr:colOff>1009650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6" name="Check Box 123">
              <controlPr defaultSize="0" autoFill="0" autoLine="0" autoPict="0">
                <anchor moveWithCells="1">
                  <from>
                    <xdr:col>3</xdr:col>
                    <xdr:colOff>704850</xdr:colOff>
                    <xdr:row>70</xdr:row>
                    <xdr:rowOff>314325</xdr:rowOff>
                  </from>
                  <to>
                    <xdr:col>3</xdr:col>
                    <xdr:colOff>1009650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57" name="Check Box 124">
              <controlPr defaultSize="0" autoFill="0" autoLine="0" autoPict="0">
                <anchor moveWithCells="1">
                  <from>
                    <xdr:col>3</xdr:col>
                    <xdr:colOff>704850</xdr:colOff>
                    <xdr:row>71</xdr:row>
                    <xdr:rowOff>314325</xdr:rowOff>
                  </from>
                  <to>
                    <xdr:col>3</xdr:col>
                    <xdr:colOff>1009650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58" name="Check Box 125">
              <controlPr defaultSize="0" autoFill="0" autoLine="0" autoPict="0">
                <anchor moveWithCells="1">
                  <from>
                    <xdr:col>3</xdr:col>
                    <xdr:colOff>704850</xdr:colOff>
                    <xdr:row>65</xdr:row>
                    <xdr:rowOff>314325</xdr:rowOff>
                  </from>
                  <to>
                    <xdr:col>3</xdr:col>
                    <xdr:colOff>1009650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59" name="Check Box 126">
              <controlPr defaultSize="0" autoFill="0" autoLine="0" autoPict="0">
                <anchor moveWithCells="1">
                  <from>
                    <xdr:col>3</xdr:col>
                    <xdr:colOff>704850</xdr:colOff>
                    <xdr:row>67</xdr:row>
                    <xdr:rowOff>304800</xdr:rowOff>
                  </from>
                  <to>
                    <xdr:col>3</xdr:col>
                    <xdr:colOff>1009650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0" name="Check Box 127">
              <controlPr defaultSize="0" autoFill="0" autoLine="0" autoPict="0">
                <anchor moveWithCells="1">
                  <from>
                    <xdr:col>3</xdr:col>
                    <xdr:colOff>704850</xdr:colOff>
                    <xdr:row>66</xdr:row>
                    <xdr:rowOff>314325</xdr:rowOff>
                  </from>
                  <to>
                    <xdr:col>3</xdr:col>
                    <xdr:colOff>1009650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61" name="Drop Down 128">
              <controlPr defaultSize="0" autoLine="0" autoPict="0">
                <anchor moveWithCells="1">
                  <from>
                    <xdr:col>5</xdr:col>
                    <xdr:colOff>133350</xdr:colOff>
                    <xdr:row>4</xdr:row>
                    <xdr:rowOff>19050</xdr:rowOff>
                  </from>
                  <to>
                    <xdr:col>7</xdr:col>
                    <xdr:colOff>2562225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62" name="Check Box 129">
              <controlPr defaultSize="0" autoFill="0" autoLine="0" autoPict="0">
                <anchor moveWithCells="1">
                  <from>
                    <xdr:col>3</xdr:col>
                    <xdr:colOff>704850</xdr:colOff>
                    <xdr:row>32</xdr:row>
                    <xdr:rowOff>314325</xdr:rowOff>
                  </from>
                  <to>
                    <xdr:col>3</xdr:col>
                    <xdr:colOff>1009650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3" name="Check Box 130">
              <controlPr defaultSize="0" autoFill="0" autoLine="0" autoPict="0">
                <anchor moveWithCells="1">
                  <from>
                    <xdr:col>3</xdr:col>
                    <xdr:colOff>704850</xdr:colOff>
                    <xdr:row>63</xdr:row>
                    <xdr:rowOff>314325</xdr:rowOff>
                  </from>
                  <to>
                    <xdr:col>3</xdr:col>
                    <xdr:colOff>1009650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4" name="Check Box 131">
              <controlPr defaultSize="0" autoFill="0" autoLine="0" autoPict="0">
                <anchor moveWithCells="1">
                  <from>
                    <xdr:col>3</xdr:col>
                    <xdr:colOff>704850</xdr:colOff>
                    <xdr:row>53</xdr:row>
                    <xdr:rowOff>314325</xdr:rowOff>
                  </from>
                  <to>
                    <xdr:col>3</xdr:col>
                    <xdr:colOff>1009650</xdr:colOff>
                    <xdr:row>54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tableParts count="2">
    <tablePart r:id="rId65"/>
    <tablePart r:id="rId66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id="{9CC69309-1BE1-4914-A193-CDEA06E3E59A}">
            <xm:f>NOT(ISERROR(SEARCH($D$2,E10)))</xm:f>
            <xm:f>$D$2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E10:E74 H10:H74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131FA-481F-4752-A768-66B5D7A1FD80}">
  <sheetPr codeName="Hoja2">
    <tabColor rgb="FF00B0F0"/>
    <pageSetUpPr fitToPage="1"/>
  </sheetPr>
  <dimension ref="A1:AD128"/>
  <sheetViews>
    <sheetView topLeftCell="B1" zoomScale="85" zoomScaleNormal="85" workbookViewId="0">
      <selection activeCell="B6" sqref="B6:E6"/>
    </sheetView>
  </sheetViews>
  <sheetFormatPr baseColWidth="10" defaultRowHeight="15.75" x14ac:dyDescent="0.25"/>
  <cols>
    <col min="1" max="1" width="16.875" style="363" hidden="1" customWidth="1"/>
    <col min="2" max="2" width="27.875" style="363" customWidth="1"/>
    <col min="3" max="4" width="11" style="363"/>
    <col min="5" max="5" width="22.25" style="363" customWidth="1"/>
    <col min="6" max="6" width="8.125" style="1" hidden="1" customWidth="1"/>
    <col min="7" max="7" width="7.5" style="1" hidden="1" customWidth="1"/>
    <col min="8" max="8" width="7" style="1" hidden="1" customWidth="1"/>
    <col min="9" max="9" width="10.75" style="1" hidden="1" customWidth="1"/>
    <col min="10" max="10" width="22.75" style="1" hidden="1" customWidth="1"/>
    <col min="11" max="12" width="17.375" style="1" hidden="1" customWidth="1"/>
    <col min="13" max="13" width="9" style="1" hidden="1" customWidth="1"/>
    <col min="14" max="14" width="14.125" style="1" hidden="1" customWidth="1"/>
    <col min="15" max="15" width="10.875" style="1" hidden="1" customWidth="1"/>
    <col min="16" max="16" width="8.625" style="1" hidden="1" customWidth="1"/>
    <col min="17" max="17" width="8.375" style="1" customWidth="1"/>
    <col min="18" max="18" width="8.5" style="1" customWidth="1"/>
    <col min="19" max="19" width="11" style="1" customWidth="1"/>
    <col min="20" max="21" width="11" style="1" hidden="1" customWidth="1"/>
    <col min="22" max="24" width="11" style="1"/>
    <col min="25" max="25" width="11.25" style="1" hidden="1" customWidth="1"/>
    <col min="26" max="26" width="34.5" style="1" hidden="1" customWidth="1"/>
    <col min="27" max="29" width="11" style="1" hidden="1" customWidth="1"/>
    <col min="30" max="30" width="11" style="363" hidden="1" customWidth="1"/>
    <col min="31" max="16384" width="11" style="363"/>
  </cols>
  <sheetData>
    <row r="1" spans="1:29" ht="5.25" customHeight="1" x14ac:dyDescent="0.25"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</row>
    <row r="2" spans="1:29" ht="14.25" customHeight="1" thickBot="1" x14ac:dyDescent="0.3">
      <c r="C2" s="74" t="s">
        <v>152</v>
      </c>
      <c r="D2" s="74"/>
      <c r="E2" s="1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</row>
    <row r="3" spans="1:29" ht="6.75" hidden="1" customHeight="1" thickBot="1" x14ac:dyDescent="0.3">
      <c r="B3" s="1"/>
      <c r="C3" s="1"/>
      <c r="D3" s="1"/>
      <c r="E3" s="1"/>
      <c r="I3" s="217" t="str">
        <f>IF(F6=4,"No necesario","")</f>
        <v>No necesario</v>
      </c>
      <c r="S3" s="363"/>
      <c r="T3" s="363"/>
      <c r="U3" s="449"/>
      <c r="V3" s="449"/>
      <c r="W3" s="449"/>
      <c r="X3" s="449"/>
      <c r="Y3" s="449"/>
      <c r="Z3" s="449"/>
      <c r="AA3" s="449"/>
      <c r="AB3" s="449"/>
      <c r="AC3" s="449"/>
    </row>
    <row r="4" spans="1:29" ht="6.75" hidden="1" customHeight="1" thickBot="1" x14ac:dyDescent="0.3">
      <c r="B4" s="1"/>
      <c r="C4" s="1"/>
      <c r="D4" s="1"/>
      <c r="E4" s="1"/>
      <c r="I4" s="55"/>
      <c r="S4" s="363"/>
      <c r="T4" s="363"/>
      <c r="U4" s="364">
        <f>SUMIFS(Tabla1[[ECTS ]],Tabla1[ASIGNATURAS Plan 2023],"Optatividad",Tabla1[marcar las superadas],"VERDADERO")</f>
        <v>0</v>
      </c>
      <c r="V4" s="363"/>
      <c r="W4" s="363"/>
      <c r="X4" s="363"/>
      <c r="Y4" s="363"/>
      <c r="Z4" s="363"/>
      <c r="AA4" s="363"/>
      <c r="AB4" s="363"/>
      <c r="AC4" s="363"/>
    </row>
    <row r="5" spans="1:29" ht="5.25" customHeight="1" thickBot="1" x14ac:dyDescent="0.3">
      <c r="F5" s="216" t="str">
        <f>IF(Autobaremo!F5&lt;4,"Elegida","Automática")</f>
        <v>Automática</v>
      </c>
      <c r="H5" s="363">
        <f>I6</f>
        <v>0</v>
      </c>
      <c r="I5" s="365">
        <f>VLOOKUP(MAX(I8:I10),I8:K10,3,FALSE)</f>
        <v>1</v>
      </c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3"/>
      <c r="AC5" s="363"/>
    </row>
    <row r="6" spans="1:29" ht="39.75" customHeight="1" thickBot="1" x14ac:dyDescent="0.3">
      <c r="B6" s="454" t="s">
        <v>175</v>
      </c>
      <c r="C6" s="455"/>
      <c r="D6" s="455"/>
      <c r="E6" s="456"/>
      <c r="F6" s="215">
        <f>IF(Autobaremo!F5&lt;4,Autobaremo!F5,IF(I6&lt;&gt;0,I5,4))</f>
        <v>4</v>
      </c>
      <c r="G6" s="463" t="str">
        <f>IF(  AND(I6&gt;0,Autobaremo!F5=4),"¿¿MENCIÓN???","")</f>
        <v/>
      </c>
      <c r="H6" s="464"/>
      <c r="I6" s="218">
        <f>MAX(I8:I10)</f>
        <v>0</v>
      </c>
      <c r="O6" s="39"/>
      <c r="P6" s="75"/>
      <c r="S6" s="363"/>
      <c r="T6" s="363"/>
      <c r="U6" s="363"/>
      <c r="V6" s="363"/>
      <c r="W6" s="363"/>
      <c r="X6" s="363"/>
      <c r="Y6" s="363" t="str">
        <f>VLOOKUP(C9,Tabla257[[MENCION]:[OP2]],2,FALSE)</f>
        <v>--</v>
      </c>
      <c r="Z6" s="363"/>
      <c r="AA6" s="363"/>
      <c r="AB6" s="363"/>
      <c r="AC6" s="363"/>
    </row>
    <row r="7" spans="1:29" ht="24" customHeight="1" thickBot="1" x14ac:dyDescent="0.4">
      <c r="B7" s="288" t="s">
        <v>92</v>
      </c>
      <c r="C7" s="156"/>
      <c r="D7" s="156"/>
      <c r="E7" s="156"/>
      <c r="F7" s="156"/>
      <c r="G7" s="156"/>
      <c r="H7" s="156"/>
      <c r="O7" s="39"/>
      <c r="P7" s="75"/>
      <c r="S7" s="363"/>
      <c r="T7" s="363"/>
      <c r="U7" s="363"/>
      <c r="V7" s="363"/>
      <c r="W7" s="363"/>
      <c r="X7" s="363"/>
      <c r="Y7" s="363" t="s">
        <v>99</v>
      </c>
      <c r="Z7" s="363" t="s">
        <v>100</v>
      </c>
      <c r="AA7" s="363" t="s">
        <v>101</v>
      </c>
      <c r="AB7" s="363" t="s">
        <v>105</v>
      </c>
      <c r="AC7" s="363" t="s">
        <v>106</v>
      </c>
    </row>
    <row r="8" spans="1:29" ht="21.75" thickBot="1" x14ac:dyDescent="0.4">
      <c r="B8" s="115" t="s">
        <v>85</v>
      </c>
      <c r="C8" s="459" t="str">
        <f>IF(Autobaremo!F4&lt;&gt;"",Autobaremo!F4,"????")</f>
        <v>????</v>
      </c>
      <c r="D8" s="460"/>
      <c r="E8" s="177" t="s">
        <v>149</v>
      </c>
      <c r="F8" s="79"/>
      <c r="G8" s="81"/>
      <c r="H8" s="80"/>
      <c r="I8" s="1">
        <f>I50</f>
        <v>0</v>
      </c>
      <c r="J8" s="1" t="s">
        <v>95</v>
      </c>
      <c r="K8" s="1">
        <v>1</v>
      </c>
      <c r="O8" s="39"/>
      <c r="P8" s="75"/>
      <c r="S8" s="363"/>
      <c r="T8" s="363"/>
      <c r="U8" s="363"/>
      <c r="V8" s="363"/>
      <c r="W8" s="363"/>
      <c r="X8" s="363"/>
      <c r="Y8" s="363">
        <v>1</v>
      </c>
      <c r="Z8" s="363" t="s">
        <v>45</v>
      </c>
      <c r="AA8" s="363" t="s">
        <v>95</v>
      </c>
      <c r="AB8" s="363" t="s">
        <v>96</v>
      </c>
      <c r="AC8" s="363" t="s">
        <v>97</v>
      </c>
    </row>
    <row r="9" spans="1:29" ht="34.5" customHeight="1" thickBot="1" x14ac:dyDescent="0.3">
      <c r="B9" s="178" t="s">
        <v>136</v>
      </c>
      <c r="C9" s="457" t="str">
        <f>VLOOKUP(Autobaremo!F5,Tabla257[],2)</f>
        <v>No Definida</v>
      </c>
      <c r="D9" s="458"/>
      <c r="E9" s="465" t="str">
        <f>IF(Autobaremo!I4&lt;&gt;"",Autobaremo!I4,"????")</f>
        <v>????</v>
      </c>
      <c r="F9" s="466" t="str">
        <f>IF(F6&lt;&gt;I5,"Mención correcta!?","")</f>
        <v>Mención correcta!?</v>
      </c>
      <c r="G9" s="65"/>
      <c r="H9" s="65"/>
      <c r="I9" s="1">
        <f>I59</f>
        <v>0</v>
      </c>
      <c r="J9" s="1" t="s">
        <v>96</v>
      </c>
      <c r="K9" s="1">
        <v>2</v>
      </c>
      <c r="O9" s="39"/>
      <c r="P9" s="75"/>
      <c r="S9" s="363"/>
      <c r="T9" s="363"/>
      <c r="U9" s="363"/>
      <c r="V9" s="363"/>
      <c r="W9" s="363"/>
      <c r="X9" s="363"/>
      <c r="Y9" s="363">
        <v>2</v>
      </c>
      <c r="Z9" s="363" t="s">
        <v>55</v>
      </c>
      <c r="AA9" s="363" t="s">
        <v>96</v>
      </c>
      <c r="AB9" s="363" t="s">
        <v>95</v>
      </c>
      <c r="AC9" s="363" t="s">
        <v>97</v>
      </c>
    </row>
    <row r="10" spans="1:29" ht="27" customHeight="1" thickBot="1" x14ac:dyDescent="0.3">
      <c r="B10" s="467" t="s">
        <v>84</v>
      </c>
      <c r="C10" s="468"/>
      <c r="D10" s="468"/>
      <c r="E10" s="469"/>
      <c r="H10" s="110"/>
      <c r="I10" s="1">
        <f>I69</f>
        <v>0</v>
      </c>
      <c r="J10" s="1" t="s">
        <v>97</v>
      </c>
      <c r="K10" s="1">
        <v>3</v>
      </c>
      <c r="N10" s="1" t="e">
        <f ca="1">_xludf.SUM(N15:N78)</f>
        <v>#NAME?</v>
      </c>
      <c r="O10" s="450"/>
      <c r="P10" s="450"/>
      <c r="Q10" s="450"/>
      <c r="R10" s="450"/>
      <c r="S10" s="363"/>
      <c r="T10" s="363"/>
      <c r="U10" s="363"/>
      <c r="V10" s="363"/>
      <c r="W10" s="363"/>
      <c r="X10" s="363"/>
      <c r="Y10" s="363">
        <v>3</v>
      </c>
      <c r="Z10" s="363" t="s">
        <v>134</v>
      </c>
      <c r="AA10" s="363" t="s">
        <v>97</v>
      </c>
      <c r="AB10" s="363" t="s">
        <v>95</v>
      </c>
      <c r="AC10" s="363" t="s">
        <v>96</v>
      </c>
    </row>
    <row r="11" spans="1:29" ht="19.899999999999999" customHeight="1" x14ac:dyDescent="0.25">
      <c r="B11" s="461"/>
      <c r="C11" s="462"/>
      <c r="D11" s="366"/>
      <c r="E11" s="179"/>
      <c r="F11" s="111"/>
      <c r="G11" s="112"/>
      <c r="H11" s="113"/>
      <c r="O11" s="451" t="s">
        <v>114</v>
      </c>
      <c r="P11" s="452"/>
      <c r="Q11" s="452"/>
      <c r="R11" s="453"/>
      <c r="S11" s="363"/>
      <c r="T11" s="363"/>
      <c r="U11" s="363"/>
      <c r="V11" s="363"/>
      <c r="W11" s="363"/>
      <c r="X11" s="363"/>
      <c r="Y11" s="363">
        <v>4</v>
      </c>
      <c r="Z11" s="363" t="s">
        <v>176</v>
      </c>
      <c r="AA11" s="363" t="s">
        <v>177</v>
      </c>
      <c r="AB11" s="363"/>
      <c r="AC11" s="363"/>
    </row>
    <row r="12" spans="1:29" ht="24.75" customHeight="1" thickBot="1" x14ac:dyDescent="0.3">
      <c r="B12" s="109" t="s">
        <v>82</v>
      </c>
      <c r="C12" s="213">
        <f>Autobaremo!F8</f>
        <v>0</v>
      </c>
      <c r="D12" s="306">
        <f>Autobaremo!I8</f>
        <v>0</v>
      </c>
      <c r="E12" s="114" t="s">
        <v>132</v>
      </c>
      <c r="F12" s="481" t="str">
        <f>CONCATENATE("(Que incluyen "&amp;U4&amp;" crs. de Optatividad)")</f>
        <v>(Que incluyen 0 crs. de Optatividad)</v>
      </c>
      <c r="G12" s="482"/>
      <c r="H12" s="483"/>
      <c r="O12" s="493" t="s">
        <v>0</v>
      </c>
      <c r="P12" s="494"/>
      <c r="Q12" s="494"/>
      <c r="R12" s="495"/>
      <c r="T12" s="363"/>
      <c r="U12" s="363"/>
      <c r="V12" s="363"/>
      <c r="W12" s="363"/>
      <c r="X12" s="363"/>
      <c r="Y12" s="363"/>
      <c r="Z12" s="363"/>
      <c r="AA12" s="363"/>
      <c r="AB12" s="363"/>
      <c r="AC12" s="363"/>
    </row>
    <row r="13" spans="1:29" ht="19.899999999999999" customHeight="1" thickBot="1" x14ac:dyDescent="0.3">
      <c r="D13" s="367" t="str">
        <f>IF(K48&lt;&gt;0,-K48," ")</f>
        <v xml:space="preserve"> </v>
      </c>
      <c r="E13" s="368" t="str">
        <f>IF(K48&lt;&gt;0,"(ver incompatibidades en OBSERVACIONES)"," ")</f>
        <v xml:space="preserve"> </v>
      </c>
      <c r="H13" s="7"/>
      <c r="I13" s="5"/>
      <c r="J13" s="87"/>
      <c r="K13" s="7"/>
      <c r="L13" s="7"/>
      <c r="M13" s="5"/>
      <c r="N13" s="5"/>
      <c r="O13" s="86"/>
      <c r="P13" s="86"/>
      <c r="Q13" s="86"/>
      <c r="R13" s="86"/>
      <c r="T13" s="363"/>
      <c r="U13" s="363"/>
      <c r="V13" s="363"/>
      <c r="W13" s="363"/>
      <c r="X13" s="363"/>
      <c r="Y13" s="363"/>
      <c r="Z13" s="363"/>
      <c r="AA13" s="363"/>
      <c r="AB13" s="363"/>
      <c r="AC13" s="363"/>
    </row>
    <row r="14" spans="1:29" ht="45" customHeight="1" thickBot="1" x14ac:dyDescent="0.3">
      <c r="B14" s="198" t="s">
        <v>76</v>
      </c>
      <c r="C14" s="8" t="s">
        <v>79</v>
      </c>
      <c r="D14" s="8" t="s">
        <v>80</v>
      </c>
      <c r="E14" s="8" t="s">
        <v>130</v>
      </c>
      <c r="F14" s="334" t="s">
        <v>111</v>
      </c>
      <c r="G14" s="126" t="s">
        <v>107</v>
      </c>
      <c r="H14" s="127" t="s">
        <v>98</v>
      </c>
      <c r="I14" s="104" t="s">
        <v>77</v>
      </c>
      <c r="J14" s="104" t="s">
        <v>75</v>
      </c>
      <c r="K14" s="104" t="s">
        <v>179</v>
      </c>
      <c r="L14" s="104" t="s">
        <v>178</v>
      </c>
      <c r="M14" s="105" t="s">
        <v>73</v>
      </c>
      <c r="N14" s="334" t="s">
        <v>198</v>
      </c>
      <c r="O14" s="190" t="s">
        <v>156</v>
      </c>
      <c r="P14" s="301"/>
      <c r="Q14" s="73" t="s">
        <v>112</v>
      </c>
      <c r="R14" s="305" t="s">
        <v>113</v>
      </c>
      <c r="S14" s="51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</row>
    <row r="15" spans="1:29" ht="24.95" customHeight="1" x14ac:dyDescent="0.25">
      <c r="A15" s="12"/>
      <c r="B15" s="12" t="s">
        <v>3</v>
      </c>
      <c r="C15" s="313">
        <v>6</v>
      </c>
      <c r="D15" s="154">
        <v>1</v>
      </c>
      <c r="E15" s="249" t="str">
        <f>IF($I15,Adaptación!$J15,   "--")</f>
        <v>--</v>
      </c>
      <c r="F15" s="88">
        <v>1</v>
      </c>
      <c r="G15" s="121"/>
      <c r="H15" s="53" t="s">
        <v>93</v>
      </c>
      <c r="I15" s="157" t="b">
        <f>Autobaremo!D10</f>
        <v>0</v>
      </c>
      <c r="J15" s="10" t="s">
        <v>4</v>
      </c>
      <c r="K15" s="227">
        <v>6</v>
      </c>
      <c r="L15" s="154"/>
      <c r="M15" s="99">
        <v>1</v>
      </c>
      <c r="N15" s="52">
        <f>VLOOKUP(Tabla7[[#This Row],[ASIGNATURAS Plan 2023]],Autobaremo!$H$10:$L$73,5,FALSE)</f>
        <v>1</v>
      </c>
      <c r="O15" s="180"/>
      <c r="P15" s="503"/>
      <c r="Q15" s="470" t="s">
        <v>185</v>
      </c>
      <c r="R15" s="507" t="s">
        <v>186</v>
      </c>
      <c r="T15" s="363"/>
      <c r="U15" s="363"/>
      <c r="V15" s="363"/>
      <c r="W15" s="363"/>
      <c r="X15" s="363"/>
      <c r="Y15" s="363"/>
      <c r="Z15" s="363"/>
      <c r="AA15" s="363"/>
      <c r="AB15" s="363"/>
      <c r="AC15" s="363"/>
    </row>
    <row r="16" spans="1:29" ht="24.95" customHeight="1" x14ac:dyDescent="0.25">
      <c r="A16" s="16"/>
      <c r="B16" s="16" t="s">
        <v>5</v>
      </c>
      <c r="C16" s="314">
        <v>6</v>
      </c>
      <c r="D16" s="82">
        <v>1</v>
      </c>
      <c r="E16" s="250" t="str">
        <f>IF($I16,Adaptación!$J16,   "--")</f>
        <v>--</v>
      </c>
      <c r="F16" s="88">
        <v>1</v>
      </c>
      <c r="G16" s="121"/>
      <c r="H16" s="52" t="s">
        <v>93</v>
      </c>
      <c r="I16" s="157" t="b">
        <f>Autobaremo!D11</f>
        <v>0</v>
      </c>
      <c r="J16" s="14" t="s">
        <v>6</v>
      </c>
      <c r="K16" s="228">
        <v>9</v>
      </c>
      <c r="L16" s="82"/>
      <c r="M16" s="100">
        <v>1</v>
      </c>
      <c r="N16" s="52">
        <f>VLOOKUP(Tabla7[[#This Row],[ASIGNATURAS Plan 2023]],Autobaremo!$H$10:$L$73,5,FALSE)</f>
        <v>1</v>
      </c>
      <c r="O16" s="181"/>
      <c r="P16" s="504"/>
      <c r="Q16" s="474"/>
      <c r="R16" s="508"/>
      <c r="T16" s="363"/>
      <c r="U16" s="363"/>
      <c r="V16" s="363"/>
      <c r="W16" s="363"/>
      <c r="X16" s="363"/>
      <c r="Y16" s="363"/>
      <c r="Z16" s="363"/>
      <c r="AA16" s="363"/>
      <c r="AB16" s="363"/>
      <c r="AC16" s="363"/>
    </row>
    <row r="17" spans="1:29" ht="24.95" customHeight="1" x14ac:dyDescent="0.25">
      <c r="A17" s="16"/>
      <c r="B17" s="16" t="s">
        <v>8</v>
      </c>
      <c r="C17" s="314">
        <v>6</v>
      </c>
      <c r="D17" s="82">
        <v>1</v>
      </c>
      <c r="E17" s="250" t="str">
        <f>IF($I17,Adaptación!$J17,   "--")</f>
        <v>--</v>
      </c>
      <c r="F17" s="88">
        <v>1</v>
      </c>
      <c r="G17" s="121"/>
      <c r="H17" s="52" t="s">
        <v>93</v>
      </c>
      <c r="I17" s="157" t="b">
        <f>Autobaremo!D13</f>
        <v>0</v>
      </c>
      <c r="J17" s="14" t="s">
        <v>8</v>
      </c>
      <c r="K17" s="228">
        <v>6</v>
      </c>
      <c r="L17" s="82"/>
      <c r="M17" s="100">
        <v>1</v>
      </c>
      <c r="N17" s="52">
        <f>VLOOKUP(Tabla7[[#This Row],[ASIGNATURAS Plan 2023]],Autobaremo!$H$10:$L$73,5,FALSE)</f>
        <v>2</v>
      </c>
      <c r="O17" s="181"/>
      <c r="P17" s="504"/>
      <c r="Q17" s="474"/>
      <c r="R17" s="508"/>
      <c r="T17" s="363"/>
      <c r="U17" s="363"/>
      <c r="V17" s="363"/>
      <c r="W17" s="363"/>
      <c r="X17" s="363"/>
      <c r="Y17" s="363"/>
      <c r="Z17" s="363"/>
      <c r="AA17" s="363"/>
      <c r="AB17" s="363"/>
      <c r="AC17" s="363"/>
    </row>
    <row r="18" spans="1:29" ht="24.95" customHeight="1" x14ac:dyDescent="0.25">
      <c r="A18" s="16"/>
      <c r="B18" s="16" t="s">
        <v>9</v>
      </c>
      <c r="C18" s="314">
        <v>6</v>
      </c>
      <c r="D18" s="82">
        <v>1</v>
      </c>
      <c r="E18" s="250" t="str">
        <f>IF($I18,Adaptación!$J18,   "--")</f>
        <v>--</v>
      </c>
      <c r="F18" s="88">
        <v>1</v>
      </c>
      <c r="G18" s="121"/>
      <c r="H18" s="52" t="s">
        <v>93</v>
      </c>
      <c r="I18" s="157" t="b">
        <f>Autobaremo!D14</f>
        <v>0</v>
      </c>
      <c r="J18" s="14" t="s">
        <v>10</v>
      </c>
      <c r="K18" s="228">
        <v>6</v>
      </c>
      <c r="L18" s="82"/>
      <c r="M18" s="100">
        <v>1</v>
      </c>
      <c r="N18" s="52">
        <f>VLOOKUP(Tabla7[[#This Row],[ASIGNATURAS Plan 2023]],Autobaremo!$H$10:$L$73,5,FALSE)</f>
        <v>1</v>
      </c>
      <c r="O18" s="181"/>
      <c r="P18" s="504"/>
      <c r="Q18" s="474"/>
      <c r="R18" s="508"/>
      <c r="T18" s="363"/>
      <c r="U18" s="363"/>
      <c r="V18" s="363"/>
      <c r="W18" s="363"/>
      <c r="X18" s="363"/>
      <c r="Y18" s="363"/>
      <c r="Z18" s="363"/>
      <c r="AA18" s="363"/>
      <c r="AB18" s="363"/>
      <c r="AC18" s="363"/>
    </row>
    <row r="19" spans="1:29" ht="24.95" customHeight="1" x14ac:dyDescent="0.25">
      <c r="A19" s="16"/>
      <c r="B19" s="16" t="s">
        <v>11</v>
      </c>
      <c r="C19" s="314">
        <v>6</v>
      </c>
      <c r="D19" s="82">
        <v>1</v>
      </c>
      <c r="E19" s="250" t="str">
        <f>IF($I19,Adaptación!$J19,   "--")</f>
        <v>--</v>
      </c>
      <c r="F19" s="88">
        <v>1</v>
      </c>
      <c r="G19" s="121"/>
      <c r="H19" s="52" t="s">
        <v>93</v>
      </c>
      <c r="I19" s="157" t="b">
        <f>Autobaremo!D15</f>
        <v>0</v>
      </c>
      <c r="J19" s="14" t="s">
        <v>11</v>
      </c>
      <c r="K19" s="228">
        <v>6</v>
      </c>
      <c r="L19" s="82"/>
      <c r="M19" s="100">
        <v>1</v>
      </c>
      <c r="N19" s="52">
        <f>VLOOKUP(Tabla7[[#This Row],[ASIGNATURAS Plan 2023]],Autobaremo!$H$10:$L$73,5,FALSE)</f>
        <v>1</v>
      </c>
      <c r="O19" s="181"/>
      <c r="P19" s="504"/>
      <c r="Q19" s="474"/>
      <c r="R19" s="508"/>
      <c r="T19" s="363"/>
      <c r="U19" s="363"/>
      <c r="V19" s="363"/>
      <c r="W19" s="363"/>
      <c r="X19" s="363"/>
      <c r="Y19" s="363"/>
      <c r="Z19" s="363"/>
      <c r="AA19" s="363"/>
      <c r="AB19" s="363"/>
      <c r="AC19" s="363"/>
    </row>
    <row r="20" spans="1:29" ht="24.95" customHeight="1" x14ac:dyDescent="0.25">
      <c r="A20" s="16"/>
      <c r="B20" s="16" t="s">
        <v>12</v>
      </c>
      <c r="C20" s="314">
        <v>6</v>
      </c>
      <c r="D20" s="82">
        <v>1</v>
      </c>
      <c r="E20" s="250" t="str">
        <f>IF($I20,Adaptación!$J20,   "--")</f>
        <v>--</v>
      </c>
      <c r="F20" s="88">
        <v>1</v>
      </c>
      <c r="G20" s="121"/>
      <c r="H20" s="52" t="s">
        <v>93</v>
      </c>
      <c r="I20" s="157" t="b">
        <f>Autobaremo!D16</f>
        <v>0</v>
      </c>
      <c r="J20" s="14" t="s">
        <v>12</v>
      </c>
      <c r="K20" s="228">
        <v>6</v>
      </c>
      <c r="L20" s="82"/>
      <c r="M20" s="100">
        <v>1</v>
      </c>
      <c r="N20" s="52">
        <f>VLOOKUP(Tabla7[[#This Row],[ASIGNATURAS Plan 2023]],Autobaremo!$H$10:$L$73,5,FALSE)</f>
        <v>2</v>
      </c>
      <c r="O20" s="181"/>
      <c r="P20" s="504"/>
      <c r="Q20" s="474"/>
      <c r="R20" s="508"/>
      <c r="T20" s="363"/>
      <c r="U20" s="363"/>
      <c r="V20" s="363"/>
      <c r="W20" s="363"/>
      <c r="X20" s="363"/>
      <c r="Y20" s="363"/>
      <c r="Z20" s="363"/>
      <c r="AA20" s="363"/>
      <c r="AB20" s="363"/>
      <c r="AC20" s="363"/>
    </row>
    <row r="21" spans="1:29" ht="24.95" customHeight="1" x14ac:dyDescent="0.25">
      <c r="A21" s="16"/>
      <c r="B21" s="16" t="s">
        <v>15</v>
      </c>
      <c r="C21" s="314">
        <v>6</v>
      </c>
      <c r="D21" s="82">
        <v>1</v>
      </c>
      <c r="E21" s="250" t="str">
        <f>IF($I21,Adaptación!$J21,   "--")</f>
        <v>--</v>
      </c>
      <c r="F21" s="88">
        <v>1</v>
      </c>
      <c r="G21" s="121"/>
      <c r="H21" s="52" t="s">
        <v>93</v>
      </c>
      <c r="I21" s="157" t="b">
        <f>Autobaremo!D17</f>
        <v>0</v>
      </c>
      <c r="J21" s="14" t="s">
        <v>15</v>
      </c>
      <c r="K21" s="228">
        <v>6</v>
      </c>
      <c r="L21" s="82"/>
      <c r="M21" s="100">
        <v>1</v>
      </c>
      <c r="N21" s="52">
        <f>VLOOKUP(Tabla7[[#This Row],[ASIGNATURAS Plan 2023]],Autobaremo!$H$10:$L$73,5,FALSE)</f>
        <v>1</v>
      </c>
      <c r="O21" s="181"/>
      <c r="P21" s="504"/>
      <c r="Q21" s="474"/>
      <c r="R21" s="508"/>
      <c r="T21" s="363"/>
      <c r="U21" s="363"/>
      <c r="V21" s="363"/>
      <c r="W21" s="363"/>
      <c r="X21" s="363"/>
      <c r="Y21" s="363"/>
      <c r="Z21" s="363"/>
      <c r="AA21" s="363"/>
      <c r="AB21" s="363"/>
      <c r="AC21" s="363"/>
    </row>
    <row r="22" spans="1:29" ht="24.95" customHeight="1" x14ac:dyDescent="0.25">
      <c r="A22" s="16"/>
      <c r="B22" s="16" t="s">
        <v>16</v>
      </c>
      <c r="C22" s="314">
        <v>6</v>
      </c>
      <c r="D22" s="82">
        <v>1</v>
      </c>
      <c r="E22" s="250" t="str">
        <f>IF($I22,Adaptación!$J22,   "--")</f>
        <v>--</v>
      </c>
      <c r="F22" s="88">
        <v>1</v>
      </c>
      <c r="G22" s="121"/>
      <c r="H22" s="52" t="s">
        <v>93</v>
      </c>
      <c r="I22" s="157" t="b">
        <f>Autobaremo!D22</f>
        <v>0</v>
      </c>
      <c r="J22" s="14" t="s">
        <v>17</v>
      </c>
      <c r="K22" s="228">
        <v>6</v>
      </c>
      <c r="L22" s="82"/>
      <c r="M22" s="100">
        <v>2</v>
      </c>
      <c r="N22" s="52">
        <f>VLOOKUP(Tabla7[[#This Row],[ASIGNATURAS Plan 2023]],Autobaremo!$H$10:$L$73,5,FALSE)</f>
        <v>2</v>
      </c>
      <c r="O22" s="181"/>
      <c r="P22" s="504"/>
      <c r="Q22" s="474"/>
      <c r="R22" s="508"/>
      <c r="T22" s="363"/>
      <c r="U22" s="363"/>
      <c r="V22" s="363"/>
      <c r="W22" s="363"/>
      <c r="X22" s="363"/>
      <c r="Y22" s="363"/>
      <c r="Z22" s="363"/>
      <c r="AA22" s="363"/>
      <c r="AB22" s="363"/>
      <c r="AC22" s="363"/>
    </row>
    <row r="23" spans="1:29" ht="24.95" customHeight="1" x14ac:dyDescent="0.25">
      <c r="A23" s="16"/>
      <c r="B23" s="16" t="s">
        <v>20</v>
      </c>
      <c r="C23" s="314">
        <v>6</v>
      </c>
      <c r="D23" s="82">
        <v>1</v>
      </c>
      <c r="E23" s="250" t="str">
        <f>IF($I23,Adaptación!$J23,   "--")</f>
        <v>--</v>
      </c>
      <c r="F23" s="88">
        <v>1</v>
      </c>
      <c r="G23" s="121"/>
      <c r="H23" s="52" t="s">
        <v>93</v>
      </c>
      <c r="I23" s="157" t="b">
        <f>Autobaremo!D19</f>
        <v>0</v>
      </c>
      <c r="J23" s="14" t="s">
        <v>20</v>
      </c>
      <c r="K23" s="228">
        <v>6</v>
      </c>
      <c r="L23" s="82"/>
      <c r="M23" s="100">
        <v>1</v>
      </c>
      <c r="N23" s="52">
        <f>VLOOKUP(Tabla7[[#This Row],[ASIGNATURAS Plan 2023]],Autobaremo!$H$10:$L$73,5,FALSE)</f>
        <v>2</v>
      </c>
      <c r="O23" s="181"/>
      <c r="P23" s="504"/>
      <c r="Q23" s="474"/>
      <c r="R23" s="508"/>
      <c r="T23" s="363"/>
      <c r="U23" s="363"/>
      <c r="V23" s="363"/>
      <c r="W23" s="363"/>
      <c r="X23" s="363"/>
      <c r="Y23" s="363"/>
      <c r="Z23" s="363"/>
      <c r="AA23" s="363"/>
      <c r="AB23" s="363"/>
      <c r="AC23" s="363"/>
    </row>
    <row r="24" spans="1:29" ht="24.95" customHeight="1" thickBot="1" x14ac:dyDescent="0.3">
      <c r="A24" s="199"/>
      <c r="B24" s="199" t="s">
        <v>33</v>
      </c>
      <c r="C24" s="315">
        <v>6</v>
      </c>
      <c r="D24" s="273">
        <v>1</v>
      </c>
      <c r="E24" s="281" t="str">
        <f>IF($I24,Adaptación!$J24,   "--")</f>
        <v>--</v>
      </c>
      <c r="F24" s="88">
        <v>1</v>
      </c>
      <c r="G24" s="121"/>
      <c r="H24" s="52" t="s">
        <v>93</v>
      </c>
      <c r="I24" s="157" t="b">
        <f>Autobaremo!D29</f>
        <v>0</v>
      </c>
      <c r="J24" s="14" t="s">
        <v>34</v>
      </c>
      <c r="K24" s="228">
        <v>6</v>
      </c>
      <c r="L24" s="82"/>
      <c r="M24" s="100">
        <v>2</v>
      </c>
      <c r="N24" s="52">
        <f>VLOOKUP(Tabla7[[#This Row],[ASIGNATURAS Plan 2023]],Autobaremo!$H$10:$L$73,5,FALSE)</f>
        <v>2</v>
      </c>
      <c r="O24" s="182"/>
      <c r="P24" s="504"/>
      <c r="Q24" s="474"/>
      <c r="R24" s="508"/>
      <c r="T24" s="363"/>
      <c r="U24" s="363"/>
      <c r="V24" s="363"/>
      <c r="W24" s="363"/>
      <c r="X24" s="363"/>
      <c r="Y24" s="363"/>
      <c r="Z24" s="363"/>
      <c r="AA24" s="363"/>
      <c r="AB24" s="363"/>
      <c r="AC24" s="363"/>
    </row>
    <row r="25" spans="1:29" ht="24.95" customHeight="1" thickTop="1" x14ac:dyDescent="0.25">
      <c r="A25" s="12"/>
      <c r="B25" s="12" t="s">
        <v>7</v>
      </c>
      <c r="C25" s="316">
        <v>4.5</v>
      </c>
      <c r="D25" s="274">
        <v>2</v>
      </c>
      <c r="E25" s="282" t="str">
        <f>IF($I25,Adaptación!$J25,   "--")</f>
        <v>--</v>
      </c>
      <c r="F25" s="89">
        <v>2</v>
      </c>
      <c r="G25" s="121"/>
      <c r="H25" s="52" t="s">
        <v>93</v>
      </c>
      <c r="I25" s="157" t="b">
        <f>Autobaremo!D12</f>
        <v>0</v>
      </c>
      <c r="J25" s="14" t="str">
        <f>J16</f>
        <v>Matemática Aplicada</v>
      </c>
      <c r="K25" s="228">
        <v>0</v>
      </c>
      <c r="L25" s="82"/>
      <c r="M25" s="100"/>
      <c r="N25" s="52">
        <f>VLOOKUP(Tabla7[[#This Row],[ASIGNATURAS Plan 2023]],Autobaremo!$H$10:$L$73,5,FALSE)</f>
        <v>1</v>
      </c>
      <c r="O25" s="183"/>
      <c r="P25" s="504"/>
      <c r="Q25" s="474"/>
      <c r="R25" s="508"/>
      <c r="T25" s="363"/>
      <c r="U25" s="363"/>
      <c r="V25" s="363"/>
      <c r="W25" s="363"/>
      <c r="X25" s="363"/>
      <c r="Y25" s="363"/>
      <c r="Z25" s="363"/>
      <c r="AA25" s="363"/>
      <c r="AB25" s="363"/>
      <c r="AC25" s="363"/>
    </row>
    <row r="26" spans="1:29" ht="24.95" customHeight="1" x14ac:dyDescent="0.25">
      <c r="A26" s="16"/>
      <c r="B26" s="16" t="s">
        <v>13</v>
      </c>
      <c r="C26" s="314">
        <v>9</v>
      </c>
      <c r="D26" s="82">
        <v>2</v>
      </c>
      <c r="E26" s="250" t="str">
        <f>IF($I26,Adaptación!$J26,   "--")</f>
        <v>--</v>
      </c>
      <c r="F26" s="89">
        <v>2</v>
      </c>
      <c r="G26" s="121"/>
      <c r="H26" s="52" t="s">
        <v>93</v>
      </c>
      <c r="I26" s="157" t="b">
        <f>Autobaremo!D21</f>
        <v>0</v>
      </c>
      <c r="J26" s="14" t="s">
        <v>14</v>
      </c>
      <c r="K26" s="228">
        <v>9</v>
      </c>
      <c r="L26" s="82"/>
      <c r="M26" s="100">
        <v>2</v>
      </c>
      <c r="N26" s="52">
        <f>VLOOKUP(Tabla7[[#This Row],[ASIGNATURAS Plan 2023]],Autobaremo!$H$10:$L$73,5,FALSE)</f>
        <v>1</v>
      </c>
      <c r="O26" s="183"/>
      <c r="P26" s="504"/>
      <c r="Q26" s="474"/>
      <c r="R26" s="508"/>
      <c r="T26" s="363"/>
      <c r="U26" s="363"/>
      <c r="V26" s="363"/>
      <c r="W26" s="363"/>
      <c r="X26" s="363"/>
      <c r="Y26" s="363"/>
      <c r="Z26" s="363"/>
      <c r="AA26" s="363"/>
      <c r="AB26" s="363"/>
      <c r="AC26" s="363"/>
    </row>
    <row r="27" spans="1:29" ht="24.95" customHeight="1" x14ac:dyDescent="0.25">
      <c r="A27" s="16"/>
      <c r="B27" s="16" t="s">
        <v>18</v>
      </c>
      <c r="C27" s="314">
        <v>6</v>
      </c>
      <c r="D27" s="82">
        <v>2</v>
      </c>
      <c r="E27" s="250" t="str">
        <f>IF($I27,Adaptación!$J27,   "--")</f>
        <v>--</v>
      </c>
      <c r="F27" s="89">
        <v>2</v>
      </c>
      <c r="G27" s="121"/>
      <c r="H27" s="52" t="s">
        <v>93</v>
      </c>
      <c r="I27" s="157" t="b">
        <f>Autobaremo!D18</f>
        <v>0</v>
      </c>
      <c r="J27" s="14" t="s">
        <v>19</v>
      </c>
      <c r="K27" s="228">
        <v>6</v>
      </c>
      <c r="L27" s="82"/>
      <c r="M27" s="100">
        <v>1</v>
      </c>
      <c r="N27" s="52">
        <f>VLOOKUP(Tabla7[[#This Row],[ASIGNATURAS Plan 2023]],Autobaremo!$H$10:$L$73,5,FALSE)</f>
        <v>1</v>
      </c>
      <c r="O27" s="183"/>
      <c r="P27" s="504"/>
      <c r="Q27" s="474"/>
      <c r="R27" s="508"/>
      <c r="T27" s="363"/>
      <c r="U27" s="363"/>
      <c r="V27" s="363"/>
      <c r="W27" s="363"/>
      <c r="X27" s="363"/>
      <c r="Y27" s="363"/>
      <c r="Z27" s="363"/>
      <c r="AA27" s="363"/>
      <c r="AB27" s="363"/>
      <c r="AC27" s="363"/>
    </row>
    <row r="28" spans="1:29" ht="24.95" customHeight="1" x14ac:dyDescent="0.25">
      <c r="A28" s="21"/>
      <c r="B28" s="21" t="s">
        <v>21</v>
      </c>
      <c r="C28" s="314">
        <v>7.5</v>
      </c>
      <c r="D28" s="82">
        <v>2</v>
      </c>
      <c r="E28" s="250" t="str">
        <f>IF($I28,Adaptación!$J28,   "--")</f>
        <v>--</v>
      </c>
      <c r="F28" s="89">
        <v>2</v>
      </c>
      <c r="G28" s="121"/>
      <c r="H28" s="52" t="s">
        <v>94</v>
      </c>
      <c r="I28" s="157" t="b">
        <f>Autobaremo!D34</f>
        <v>0</v>
      </c>
      <c r="J28" s="20" t="s">
        <v>21</v>
      </c>
      <c r="K28" s="228">
        <v>9</v>
      </c>
      <c r="L28" s="82"/>
      <c r="M28" s="100">
        <v>3</v>
      </c>
      <c r="N28" s="52">
        <f>VLOOKUP(Tabla7[[#This Row],[ASIGNATURAS Plan 2023]],Autobaremo!$H$10:$L$73,5,FALSE)</f>
        <v>2</v>
      </c>
      <c r="O28" s="183"/>
      <c r="P28" s="504"/>
      <c r="Q28" s="474"/>
      <c r="R28" s="508"/>
      <c r="T28" s="363"/>
      <c r="U28" s="363"/>
      <c r="V28" s="363"/>
      <c r="W28" s="363"/>
      <c r="X28" s="363"/>
      <c r="Y28" s="363"/>
      <c r="Z28" s="363"/>
      <c r="AA28" s="363"/>
      <c r="AB28" s="363"/>
      <c r="AC28" s="363"/>
    </row>
    <row r="29" spans="1:29" ht="24.95" customHeight="1" x14ac:dyDescent="0.25">
      <c r="A29" s="21"/>
      <c r="B29" s="21" t="s">
        <v>24</v>
      </c>
      <c r="C29" s="314">
        <v>4.5</v>
      </c>
      <c r="D29" s="82">
        <v>2</v>
      </c>
      <c r="E29" s="250" t="str">
        <f>IF($I29,Adaptación!$J29,   "--")</f>
        <v>--</v>
      </c>
      <c r="F29" s="89">
        <v>2</v>
      </c>
      <c r="G29" s="121"/>
      <c r="H29" s="52" t="s">
        <v>93</v>
      </c>
      <c r="I29" s="157" t="b">
        <f>Autobaremo!D23</f>
        <v>0</v>
      </c>
      <c r="J29" s="20" t="s">
        <v>25</v>
      </c>
      <c r="K29" s="228">
        <v>6</v>
      </c>
      <c r="L29" s="82"/>
      <c r="M29" s="100">
        <v>2</v>
      </c>
      <c r="N29" s="52">
        <f>VLOOKUP(Tabla7[[#This Row],[ASIGNATURAS Plan 2023]],Autobaremo!$H$10:$L$73,5,FALSE)</f>
        <v>1</v>
      </c>
      <c r="O29" s="183"/>
      <c r="P29" s="504"/>
      <c r="Q29" s="474"/>
      <c r="R29" s="508"/>
      <c r="T29" s="363"/>
      <c r="U29" s="363"/>
      <c r="V29" s="363"/>
      <c r="W29" s="363"/>
      <c r="X29" s="363"/>
      <c r="Y29" s="363"/>
      <c r="Z29" s="363"/>
      <c r="AA29" s="363"/>
      <c r="AB29" s="363"/>
      <c r="AC29" s="363"/>
    </row>
    <row r="30" spans="1:29" ht="24.95" customHeight="1" x14ac:dyDescent="0.25">
      <c r="A30" s="21"/>
      <c r="B30" s="21" t="s">
        <v>26</v>
      </c>
      <c r="C30" s="314">
        <v>7.5</v>
      </c>
      <c r="D30" s="82">
        <v>2</v>
      </c>
      <c r="E30" s="250" t="str">
        <f>IF($I30,Adaptación!$J30,   "--")</f>
        <v>--</v>
      </c>
      <c r="F30" s="89">
        <v>2</v>
      </c>
      <c r="G30" s="121"/>
      <c r="H30" s="52" t="s">
        <v>93</v>
      </c>
      <c r="I30" s="157" t="b">
        <f>Autobaremo!D25</f>
        <v>0</v>
      </c>
      <c r="J30" s="59" t="s">
        <v>26</v>
      </c>
      <c r="K30" s="228">
        <v>9</v>
      </c>
      <c r="L30" s="82"/>
      <c r="M30" s="100">
        <v>2</v>
      </c>
      <c r="N30" s="52">
        <f>VLOOKUP(Tabla7[[#This Row],[ASIGNATURAS Plan 2023]],Autobaremo!$H$10:$L$73,5,FALSE)</f>
        <v>2</v>
      </c>
      <c r="O30" s="183"/>
      <c r="P30" s="504"/>
      <c r="Q30" s="474"/>
      <c r="R30" s="508"/>
      <c r="T30" s="363"/>
      <c r="U30" s="363"/>
      <c r="V30" s="363"/>
      <c r="W30" s="363"/>
      <c r="X30" s="363"/>
      <c r="Y30" s="363"/>
      <c r="Z30" s="363"/>
      <c r="AA30" s="363"/>
      <c r="AB30" s="363"/>
      <c r="AC30" s="363"/>
    </row>
    <row r="31" spans="1:29" ht="24.95" customHeight="1" x14ac:dyDescent="0.25">
      <c r="A31" s="16"/>
      <c r="B31" s="16" t="s">
        <v>27</v>
      </c>
      <c r="C31" s="314">
        <v>6</v>
      </c>
      <c r="D31" s="82">
        <v>2</v>
      </c>
      <c r="E31" s="250" t="str">
        <f>IF($I31,Adaptación!$J31,   "--")</f>
        <v>--</v>
      </c>
      <c r="F31" s="89">
        <v>2</v>
      </c>
      <c r="G31" s="121"/>
      <c r="H31" s="52" t="s">
        <v>93</v>
      </c>
      <c r="I31" s="158" t="b">
        <f>Autobaremo!D27</f>
        <v>0</v>
      </c>
      <c r="J31" s="102" t="s">
        <v>27</v>
      </c>
      <c r="K31" s="229">
        <v>6</v>
      </c>
      <c r="L31" s="224"/>
      <c r="M31" s="100">
        <v>2</v>
      </c>
      <c r="N31" s="52">
        <f>VLOOKUP(Tabla7[[#This Row],[ASIGNATURAS Plan 2023]],Autobaremo!$H$10:$L$73,5,FALSE)</f>
        <v>1</v>
      </c>
      <c r="O31" s="183"/>
      <c r="P31" s="504"/>
      <c r="Q31" s="474"/>
      <c r="R31" s="508"/>
      <c r="T31" s="363"/>
      <c r="U31" s="363"/>
      <c r="V31" s="363"/>
      <c r="W31" s="363"/>
      <c r="X31" s="363"/>
      <c r="Y31" s="363"/>
      <c r="Z31" s="363"/>
      <c r="AA31" s="363"/>
      <c r="AB31" s="363"/>
      <c r="AC31" s="363"/>
    </row>
    <row r="32" spans="1:29" ht="24.95" customHeight="1" x14ac:dyDescent="0.25">
      <c r="A32" s="16"/>
      <c r="B32" s="16" t="s">
        <v>35</v>
      </c>
      <c r="C32" s="314">
        <v>6</v>
      </c>
      <c r="D32" s="82">
        <v>2</v>
      </c>
      <c r="E32" s="250" t="str">
        <f>IF($I32,Adaptación!$J32,   "--")</f>
        <v>--</v>
      </c>
      <c r="F32" s="89">
        <v>2</v>
      </c>
      <c r="G32" s="121"/>
      <c r="H32" s="52" t="s">
        <v>93</v>
      </c>
      <c r="I32" s="158" t="b">
        <f>Autobaremo!D30</f>
        <v>0</v>
      </c>
      <c r="J32" s="102" t="s">
        <v>36</v>
      </c>
      <c r="K32" s="229">
        <v>6</v>
      </c>
      <c r="L32" s="224"/>
      <c r="M32" s="100">
        <v>2</v>
      </c>
      <c r="N32" s="52">
        <f>VLOOKUP(Tabla7[[#This Row],[ASIGNATURAS Plan 2023]],Autobaremo!$H$10:$L$73,5,FALSE)</f>
        <v>2</v>
      </c>
      <c r="O32" s="183"/>
      <c r="P32" s="504"/>
      <c r="Q32" s="474"/>
      <c r="R32" s="508"/>
      <c r="T32" s="363"/>
      <c r="U32" s="363"/>
      <c r="V32" s="363"/>
      <c r="W32" s="363"/>
      <c r="X32" s="363"/>
      <c r="Y32" s="363"/>
      <c r="Z32" s="363"/>
      <c r="AA32" s="363"/>
      <c r="AB32" s="363"/>
      <c r="AC32" s="363"/>
    </row>
    <row r="33" spans="1:29" ht="24.95" customHeight="1" x14ac:dyDescent="0.25">
      <c r="A33" s="16"/>
      <c r="B33" s="16" t="s">
        <v>41</v>
      </c>
      <c r="C33" s="314">
        <v>6</v>
      </c>
      <c r="D33" s="82">
        <v>2</v>
      </c>
      <c r="E33" s="250" t="str">
        <f>IF($I33,Adaptación!$J33,   "--")</f>
        <v>--</v>
      </c>
      <c r="F33" s="89">
        <v>2</v>
      </c>
      <c r="G33" s="121"/>
      <c r="H33" s="52" t="s">
        <v>93</v>
      </c>
      <c r="I33" s="157" t="b">
        <f>Autobaremo!D32</f>
        <v>0</v>
      </c>
      <c r="J33" s="10" t="s">
        <v>42</v>
      </c>
      <c r="K33" s="228">
        <v>6</v>
      </c>
      <c r="L33" s="82"/>
      <c r="M33" s="100">
        <v>2</v>
      </c>
      <c r="N33" s="52">
        <f>VLOOKUP(Tabla7[[#This Row],[ASIGNATURAS Plan 2023]],Autobaremo!$H$10:$L$73,5,FALSE)</f>
        <v>2</v>
      </c>
      <c r="O33" s="183"/>
      <c r="P33" s="504"/>
      <c r="Q33" s="474"/>
      <c r="R33" s="508"/>
      <c r="T33" s="363"/>
      <c r="U33" s="363"/>
      <c r="V33" s="363"/>
      <c r="W33" s="363"/>
      <c r="X33" s="363"/>
      <c r="Y33" s="363"/>
      <c r="Z33" s="363"/>
      <c r="AA33" s="363"/>
      <c r="AB33" s="363"/>
      <c r="AC33" s="363"/>
    </row>
    <row r="34" spans="1:29" ht="24.95" customHeight="1" thickBot="1" x14ac:dyDescent="0.3">
      <c r="A34" s="199"/>
      <c r="B34" s="199" t="s">
        <v>43</v>
      </c>
      <c r="C34" s="317">
        <v>3</v>
      </c>
      <c r="D34" s="275">
        <v>2</v>
      </c>
      <c r="E34" s="281" t="str">
        <f>IF($I34,Adaptación!$J34,   "--")</f>
        <v>--</v>
      </c>
      <c r="F34" s="89">
        <v>2</v>
      </c>
      <c r="G34" s="121"/>
      <c r="H34" s="52" t="s">
        <v>93</v>
      </c>
      <c r="I34" s="157" t="b">
        <f>Autobaremo!D33</f>
        <v>0</v>
      </c>
      <c r="J34" s="14" t="s">
        <v>81</v>
      </c>
      <c r="K34" s="228">
        <v>0</v>
      </c>
      <c r="L34" s="82"/>
      <c r="M34" s="100"/>
      <c r="N34" s="52">
        <f>VLOOKUP(Tabla7[[#This Row],[ASIGNATURAS Plan 2023]],Autobaremo!$H$10:$L$73,5,FALSE)</f>
        <v>2</v>
      </c>
      <c r="O34" s="183"/>
      <c r="P34" s="505"/>
      <c r="Q34" s="474"/>
      <c r="R34" s="508"/>
      <c r="T34" s="363"/>
      <c r="U34" s="363"/>
      <c r="V34" s="363"/>
      <c r="W34" s="363"/>
      <c r="X34" s="363"/>
      <c r="Y34" s="363"/>
      <c r="Z34" s="363"/>
      <c r="AA34" s="363"/>
      <c r="AB34" s="363"/>
      <c r="AC34" s="363"/>
    </row>
    <row r="35" spans="1:29" ht="24.95" customHeight="1" thickTop="1" x14ac:dyDescent="0.25">
      <c r="A35" s="12"/>
      <c r="B35" s="12" t="s">
        <v>22</v>
      </c>
      <c r="C35" s="313">
        <v>6</v>
      </c>
      <c r="D35" s="154">
        <v>3</v>
      </c>
      <c r="E35" s="282" t="str">
        <f>IF($I35,Adaptación!$J35,   "--")</f>
        <v>--</v>
      </c>
      <c r="F35" s="90">
        <v>3</v>
      </c>
      <c r="G35" s="121"/>
      <c r="H35" s="52" t="s">
        <v>94</v>
      </c>
      <c r="I35" s="157" t="b">
        <f>Autobaremo!D36</f>
        <v>0</v>
      </c>
      <c r="J35" s="14" t="s">
        <v>22</v>
      </c>
      <c r="K35" s="228">
        <v>6</v>
      </c>
      <c r="L35" s="82"/>
      <c r="M35" s="100">
        <v>3</v>
      </c>
      <c r="N35" s="52">
        <f>VLOOKUP(Tabla7[[#This Row],[ASIGNATURAS Plan 2023]],Autobaremo!$H$10:$L$73,5,FALSE)</f>
        <v>2</v>
      </c>
      <c r="O35" s="183"/>
      <c r="P35" s="54"/>
      <c r="Q35" s="474"/>
      <c r="R35" s="508"/>
      <c r="T35" s="363"/>
      <c r="U35" s="363"/>
      <c r="V35" s="363"/>
      <c r="W35" s="363"/>
      <c r="X35" s="363"/>
      <c r="Y35" s="363"/>
      <c r="Z35" s="363"/>
      <c r="AA35" s="363"/>
      <c r="AB35" s="363"/>
      <c r="AC35" s="363"/>
    </row>
    <row r="36" spans="1:29" ht="24.95" customHeight="1" x14ac:dyDescent="0.25">
      <c r="A36" s="21"/>
      <c r="B36" s="21" t="s">
        <v>23</v>
      </c>
      <c r="C36" s="314">
        <v>4.5</v>
      </c>
      <c r="D36" s="82">
        <v>3</v>
      </c>
      <c r="E36" s="250" t="str">
        <f>IF($I36,Adaptación!$J36,   "--")</f>
        <v>--</v>
      </c>
      <c r="F36" s="90">
        <v>3</v>
      </c>
      <c r="G36" s="121"/>
      <c r="H36" s="52" t="s">
        <v>94</v>
      </c>
      <c r="I36" s="157" t="b">
        <f>Autobaremo!D40</f>
        <v>0</v>
      </c>
      <c r="J36" s="20" t="s">
        <v>23</v>
      </c>
      <c r="K36" s="228">
        <v>6</v>
      </c>
      <c r="L36" s="82"/>
      <c r="M36" s="100">
        <v>4</v>
      </c>
      <c r="N36" s="52">
        <f>VLOOKUP(Tabla7[[#This Row],[ASIGNATURAS Plan 2023]],Autobaremo!$H$10:$L$73,5,FALSE)</f>
        <v>2</v>
      </c>
      <c r="O36" s="183"/>
      <c r="P36" s="55"/>
      <c r="Q36" s="474"/>
      <c r="R36" s="508"/>
      <c r="T36" s="363"/>
      <c r="U36" s="363"/>
      <c r="V36" s="363"/>
      <c r="W36" s="363"/>
      <c r="X36" s="363"/>
      <c r="Y36" s="363"/>
      <c r="Z36" s="363"/>
      <c r="AA36" s="363"/>
      <c r="AB36" s="363"/>
      <c r="AC36" s="363"/>
    </row>
    <row r="37" spans="1:29" ht="24.95" customHeight="1" x14ac:dyDescent="0.25">
      <c r="A37" s="16"/>
      <c r="B37" s="16" t="s">
        <v>30</v>
      </c>
      <c r="C37" s="314">
        <v>6</v>
      </c>
      <c r="D37" s="82">
        <v>3</v>
      </c>
      <c r="E37" s="250" t="str">
        <f>IF($I37,Adaptación!$J37,   "--")</f>
        <v>--</v>
      </c>
      <c r="F37" s="90">
        <v>3</v>
      </c>
      <c r="G37" s="121"/>
      <c r="H37" s="52" t="s">
        <v>94</v>
      </c>
      <c r="I37" s="157" t="b">
        <f>Autobaremo!D37</f>
        <v>0</v>
      </c>
      <c r="J37" s="14" t="s">
        <v>30</v>
      </c>
      <c r="K37" s="228">
        <v>6</v>
      </c>
      <c r="L37" s="82"/>
      <c r="M37" s="100">
        <v>3</v>
      </c>
      <c r="N37" s="52">
        <f>VLOOKUP(Tabla7[[#This Row],[ASIGNATURAS Plan 2023]],Autobaremo!$H$10:$L$73,5,FALSE)</f>
        <v>2</v>
      </c>
      <c r="O37" s="183"/>
      <c r="P37" s="55"/>
      <c r="Q37" s="474"/>
      <c r="R37" s="508"/>
      <c r="T37" s="363"/>
      <c r="U37" s="363"/>
      <c r="V37" s="363"/>
      <c r="W37" s="363"/>
      <c r="X37" s="363"/>
      <c r="Y37" s="363"/>
      <c r="Z37" s="363"/>
      <c r="AA37" s="363"/>
      <c r="AB37" s="363"/>
      <c r="AC37" s="363"/>
    </row>
    <row r="38" spans="1:29" ht="24.95" customHeight="1" x14ac:dyDescent="0.25">
      <c r="A38" s="16"/>
      <c r="B38" s="16" t="s">
        <v>37</v>
      </c>
      <c r="C38" s="314">
        <v>4.5</v>
      </c>
      <c r="D38" s="82">
        <v>3</v>
      </c>
      <c r="E38" s="250" t="str">
        <f>IF($I38,Adaptación!$J38,   "--")</f>
        <v>--</v>
      </c>
      <c r="F38" s="90">
        <v>3</v>
      </c>
      <c r="G38" s="121"/>
      <c r="H38" s="52" t="s">
        <v>93</v>
      </c>
      <c r="I38" s="157" t="b">
        <f>Autobaremo!D31</f>
        <v>0</v>
      </c>
      <c r="J38" s="14" t="s">
        <v>38</v>
      </c>
      <c r="K38" s="228">
        <v>3</v>
      </c>
      <c r="L38" s="82"/>
      <c r="M38" s="100">
        <v>2</v>
      </c>
      <c r="N38" s="52">
        <f>VLOOKUP(Tabla7[[#This Row],[ASIGNATURAS Plan 2023]],Autobaremo!$H$10:$L$73,5,FALSE)</f>
        <v>2</v>
      </c>
      <c r="O38" s="183"/>
      <c r="P38" s="55"/>
      <c r="Q38" s="474"/>
      <c r="R38" s="508"/>
      <c r="T38" s="363"/>
      <c r="U38" s="363"/>
      <c r="V38" s="363"/>
      <c r="W38" s="363"/>
      <c r="X38" s="363"/>
      <c r="Y38" s="363"/>
      <c r="Z38" s="363"/>
      <c r="AA38" s="363"/>
      <c r="AB38" s="363"/>
      <c r="AC38" s="363"/>
    </row>
    <row r="39" spans="1:29" ht="24.95" customHeight="1" x14ac:dyDescent="0.25">
      <c r="A39" s="16"/>
      <c r="B39" s="16" t="s">
        <v>39</v>
      </c>
      <c r="C39" s="314">
        <v>3</v>
      </c>
      <c r="D39" s="82">
        <v>3</v>
      </c>
      <c r="E39" s="250" t="str">
        <f>IF($I39,Adaptación!$J39,   "--")</f>
        <v>--</v>
      </c>
      <c r="F39" s="90">
        <v>3</v>
      </c>
      <c r="G39" s="121"/>
      <c r="H39" s="52" t="s">
        <v>93</v>
      </c>
      <c r="I39" s="157" t="b">
        <f>Autobaremo!D20</f>
        <v>0</v>
      </c>
      <c r="J39" s="14" t="s">
        <v>39</v>
      </c>
      <c r="K39" s="228">
        <v>3</v>
      </c>
      <c r="L39" s="82"/>
      <c r="M39" s="100">
        <v>1</v>
      </c>
      <c r="N39" s="52">
        <f>VLOOKUP(Tabla7[[#This Row],[ASIGNATURAS Plan 2023]],Autobaremo!$H$10:$L$73,5,FALSE)</f>
        <v>2</v>
      </c>
      <c r="O39" s="183"/>
      <c r="P39" s="55"/>
      <c r="Q39" s="474"/>
      <c r="R39" s="508"/>
      <c r="T39" s="363"/>
      <c r="U39" s="363"/>
      <c r="V39" s="363"/>
      <c r="W39" s="363"/>
      <c r="X39" s="363"/>
      <c r="Y39" s="363"/>
      <c r="Z39" s="363"/>
      <c r="AA39" s="363"/>
      <c r="AB39" s="363"/>
      <c r="AC39" s="363"/>
    </row>
    <row r="40" spans="1:29" ht="24.95" customHeight="1" thickBot="1" x14ac:dyDescent="0.3">
      <c r="A40" s="16"/>
      <c r="B40" s="16" t="s">
        <v>40</v>
      </c>
      <c r="C40" s="314">
        <v>6</v>
      </c>
      <c r="D40" s="82">
        <v>3</v>
      </c>
      <c r="E40" s="250" t="str">
        <f>IF($I40,Adaptación!$J40,   "--")</f>
        <v>--</v>
      </c>
      <c r="F40" s="90">
        <v>3</v>
      </c>
      <c r="G40" s="121"/>
      <c r="H40" s="52" t="s">
        <v>94</v>
      </c>
      <c r="I40" s="157" t="b">
        <f>Autobaremo!D39</f>
        <v>0</v>
      </c>
      <c r="J40" s="14" t="s">
        <v>40</v>
      </c>
      <c r="K40" s="228">
        <v>6</v>
      </c>
      <c r="L40" s="82"/>
      <c r="M40" s="100">
        <v>3</v>
      </c>
      <c r="N40" s="52">
        <f>VLOOKUP(Tabla7[[#This Row],[ASIGNATURAS Plan 2023]],Autobaremo!$H$10:$L$73,5,FALSE)</f>
        <v>1</v>
      </c>
      <c r="O40" s="183"/>
      <c r="P40" s="55"/>
      <c r="Q40" s="506"/>
      <c r="R40" s="508"/>
      <c r="T40" s="363"/>
      <c r="U40" s="363"/>
      <c r="V40" s="363"/>
      <c r="W40" s="363"/>
      <c r="X40" s="363"/>
      <c r="Y40" s="363"/>
      <c r="Z40" s="363"/>
      <c r="AA40" s="363"/>
      <c r="AB40" s="363"/>
      <c r="AC40" s="363"/>
    </row>
    <row r="41" spans="1:29" ht="24.95" customHeight="1" x14ac:dyDescent="0.25">
      <c r="A41" s="16"/>
      <c r="B41" s="302" t="s">
        <v>28</v>
      </c>
      <c r="C41" s="314">
        <v>3</v>
      </c>
      <c r="D41" s="82">
        <v>4</v>
      </c>
      <c r="E41" s="250" t="str">
        <f>IF($I41,Adaptación!$J41,   "--")</f>
        <v>--</v>
      </c>
      <c r="F41" s="91">
        <v>4</v>
      </c>
      <c r="G41" s="121"/>
      <c r="H41" s="52" t="s">
        <v>93</v>
      </c>
      <c r="I41" s="157" t="b">
        <f>Autobaremo!D28</f>
        <v>0</v>
      </c>
      <c r="J41" s="14" t="s">
        <v>29</v>
      </c>
      <c r="K41" s="228">
        <v>3</v>
      </c>
      <c r="L41" s="82"/>
      <c r="M41" s="100">
        <v>2</v>
      </c>
      <c r="N41" s="52">
        <f>VLOOKUP(Tabla7[[#This Row],[ASIGNATURAS Plan 2023]],Autobaremo!$H$10:$L$73,5,FALSE)</f>
        <v>1</v>
      </c>
      <c r="O41" s="183"/>
      <c r="P41" s="55"/>
      <c r="Q41" s="55"/>
      <c r="R41" s="508"/>
      <c r="T41" s="363"/>
      <c r="U41" s="363"/>
      <c r="V41" s="363"/>
      <c r="W41" s="363"/>
      <c r="X41" s="363"/>
      <c r="Y41" s="363"/>
      <c r="Z41" s="363"/>
      <c r="AA41" s="363"/>
      <c r="AB41" s="363"/>
      <c r="AC41" s="363"/>
    </row>
    <row r="42" spans="1:29" ht="24.95" customHeight="1" x14ac:dyDescent="0.25">
      <c r="A42" s="16"/>
      <c r="B42" s="302" t="s">
        <v>31</v>
      </c>
      <c r="C42" s="318">
        <v>3</v>
      </c>
      <c r="D42" s="304">
        <v>4</v>
      </c>
      <c r="E42" s="250" t="str">
        <f>IF($I42,Adaptación!$J42,   "--")</f>
        <v>--</v>
      </c>
      <c r="F42" s="91">
        <v>4</v>
      </c>
      <c r="G42" s="121"/>
      <c r="H42" s="52" t="s">
        <v>94</v>
      </c>
      <c r="I42" s="157" t="b">
        <f>Autobaremo!D38</f>
        <v>0</v>
      </c>
      <c r="J42" s="14" t="s">
        <v>31</v>
      </c>
      <c r="K42" s="228">
        <v>3</v>
      </c>
      <c r="L42" s="82"/>
      <c r="M42" s="100">
        <v>3</v>
      </c>
      <c r="N42" s="52">
        <f>VLOOKUP(Tabla7[[#This Row],[ASIGNATURAS Plan 2023]],Autobaremo!$H$10:$L$73,5,FALSE)</f>
        <v>1</v>
      </c>
      <c r="O42" s="183"/>
      <c r="P42" s="55"/>
      <c r="Q42" s="55"/>
      <c r="R42" s="508"/>
      <c r="T42" s="363"/>
      <c r="U42" s="363"/>
      <c r="V42" s="363"/>
      <c r="W42" s="363"/>
      <c r="X42" s="363"/>
      <c r="Y42" s="363"/>
      <c r="Z42" s="363"/>
      <c r="AA42" s="363"/>
      <c r="AB42" s="363"/>
      <c r="AC42" s="363"/>
    </row>
    <row r="43" spans="1:29" ht="24.95" customHeight="1" x14ac:dyDescent="0.25">
      <c r="A43" s="16"/>
      <c r="B43" s="302" t="s">
        <v>32</v>
      </c>
      <c r="C43" s="318">
        <v>6</v>
      </c>
      <c r="D43" s="304">
        <v>4</v>
      </c>
      <c r="E43" s="250" t="str">
        <f>IF($I43,Adaptación!$J43,   "--")</f>
        <v>--</v>
      </c>
      <c r="F43" s="91">
        <v>4</v>
      </c>
      <c r="G43" s="121"/>
      <c r="H43" s="52" t="s">
        <v>94</v>
      </c>
      <c r="I43" s="157" t="b">
        <f>Autobaremo!D42</f>
        <v>0</v>
      </c>
      <c r="J43" s="14" t="s">
        <v>32</v>
      </c>
      <c r="K43" s="228">
        <v>6</v>
      </c>
      <c r="L43" s="82"/>
      <c r="M43" s="100">
        <v>4</v>
      </c>
      <c r="N43" s="52">
        <f>VLOOKUP(Tabla7[[#This Row],[ASIGNATURAS Plan 2023]],Autobaremo!$H$10:$L$73,5,FALSE)</f>
        <v>1</v>
      </c>
      <c r="O43" s="183"/>
      <c r="P43" s="55"/>
      <c r="Q43" s="55"/>
      <c r="R43" s="508"/>
      <c r="T43" s="363"/>
      <c r="U43" s="363"/>
      <c r="V43" s="363"/>
      <c r="W43" s="363"/>
      <c r="X43" s="363"/>
      <c r="Y43" s="363"/>
      <c r="Z43" s="363"/>
      <c r="AA43" s="363"/>
      <c r="AB43" s="363"/>
      <c r="AC43" s="363"/>
    </row>
    <row r="44" spans="1:29" ht="24.95" customHeight="1" x14ac:dyDescent="0.25">
      <c r="A44" s="16"/>
      <c r="B44" s="16" t="s">
        <v>102</v>
      </c>
      <c r="C44" s="314">
        <v>6</v>
      </c>
      <c r="D44" s="82">
        <v>4</v>
      </c>
      <c r="E44" s="250" t="str">
        <f>IF($I44,Adaptación!$J44,   "--")</f>
        <v>--</v>
      </c>
      <c r="F44" s="91">
        <v>4</v>
      </c>
      <c r="G44" s="121" t="s">
        <v>108</v>
      </c>
      <c r="H44" s="52" t="s">
        <v>93</v>
      </c>
      <c r="I44" s="157" t="b">
        <f>Autobaremo!D43</f>
        <v>0</v>
      </c>
      <c r="J44" s="14" t="s">
        <v>102</v>
      </c>
      <c r="K44" s="228">
        <v>6</v>
      </c>
      <c r="L44" s="82"/>
      <c r="M44" s="100">
        <v>4</v>
      </c>
      <c r="N44" s="52">
        <v>2</v>
      </c>
      <c r="O44" s="183"/>
      <c r="P44" s="55"/>
      <c r="Q44" s="55"/>
      <c r="R44" s="508"/>
      <c r="T44" s="363"/>
      <c r="U44" s="363"/>
      <c r="V44" s="363"/>
      <c r="W44" s="363"/>
      <c r="X44" s="363"/>
      <c r="Y44" s="363"/>
      <c r="Z44" s="363"/>
      <c r="AA44" s="363"/>
      <c r="AB44" s="363"/>
      <c r="AC44" s="363"/>
    </row>
    <row r="45" spans="1:29" ht="24.95" customHeight="1" x14ac:dyDescent="0.25">
      <c r="A45" s="16"/>
      <c r="B45" s="302" t="s">
        <v>44</v>
      </c>
      <c r="C45" s="318">
        <v>12</v>
      </c>
      <c r="D45" s="304">
        <v>4</v>
      </c>
      <c r="E45" s="283" t="str">
        <f>IF($I45,Adaptación!$J45,   "NO ADAPTABLE")</f>
        <v>NO ADAPTABLE</v>
      </c>
      <c r="F45" s="91">
        <v>4</v>
      </c>
      <c r="G45" s="121"/>
      <c r="H45" s="52" t="s">
        <v>93</v>
      </c>
      <c r="I45" s="157" t="b">
        <f>Autobaremo!D44</f>
        <v>0</v>
      </c>
      <c r="J45" s="14" t="s">
        <v>44</v>
      </c>
      <c r="K45" s="228">
        <v>12</v>
      </c>
      <c r="L45" s="82"/>
      <c r="M45" s="100">
        <v>4</v>
      </c>
      <c r="N45" s="52">
        <f>VLOOKUP(Tabla7[[#This Row],[ASIGNATURAS Plan 2023]],Autobaremo!$H$10:$L$73,5,FALSE)</f>
        <v>2</v>
      </c>
      <c r="O45" s="183"/>
      <c r="P45" s="55"/>
      <c r="Q45" s="55"/>
      <c r="R45" s="509"/>
      <c r="T45" s="363"/>
      <c r="U45" s="363"/>
      <c r="V45" s="363"/>
      <c r="W45" s="363"/>
      <c r="X45" s="363"/>
      <c r="Y45" s="363"/>
      <c r="Z45" s="363"/>
      <c r="AA45" s="363"/>
      <c r="AB45" s="363"/>
      <c r="AC45" s="363"/>
    </row>
    <row r="46" spans="1:29" ht="24.95" customHeight="1" thickBot="1" x14ac:dyDescent="0.3">
      <c r="A46" s="25"/>
      <c r="B46" s="25" t="s">
        <v>135</v>
      </c>
      <c r="C46" s="319"/>
      <c r="D46" s="276"/>
      <c r="E46" s="284"/>
      <c r="F46" s="150"/>
      <c r="G46" s="121"/>
      <c r="H46" s="52"/>
      <c r="I46" s="157"/>
      <c r="J46" s="20"/>
      <c r="K46" s="228">
        <v>0</v>
      </c>
      <c r="L46" s="82"/>
      <c r="M46" s="100"/>
      <c r="N46" s="312">
        <v>0</v>
      </c>
      <c r="O46" s="184"/>
      <c r="P46" s="145"/>
      <c r="Q46" s="144"/>
      <c r="R46" s="307"/>
      <c r="T46" s="363"/>
      <c r="U46" s="363"/>
      <c r="V46" s="363"/>
      <c r="W46" s="363"/>
      <c r="X46" s="363"/>
      <c r="Y46" s="363"/>
      <c r="Z46" s="363"/>
      <c r="AA46" s="363"/>
      <c r="AB46" s="363"/>
      <c r="AC46" s="363"/>
    </row>
    <row r="47" spans="1:29" ht="24.95" customHeight="1" thickBot="1" x14ac:dyDescent="0.3">
      <c r="A47" s="16"/>
      <c r="B47" s="287" t="s">
        <v>50</v>
      </c>
      <c r="C47" s="314">
        <v>6</v>
      </c>
      <c r="D47" s="82">
        <v>3</v>
      </c>
      <c r="E47" s="250" t="str">
        <f>IF(AND(E52&lt;&gt;"",J47&gt;1),E52&amp;"(***)",IF(E52&lt;&gt;"",E52,"---"))</f>
        <v>---</v>
      </c>
      <c r="F47" s="202">
        <v>3</v>
      </c>
      <c r="G47" s="151" t="s">
        <v>94</v>
      </c>
      <c r="H47" s="151" t="str">
        <f>$D$100</f>
        <v>--</v>
      </c>
      <c r="I47" s="203" t="b">
        <f>IF(Tabla7[[#This Row],[ADAPTACIÓN
POR…]]&lt;&gt;"---",TRUE,FALSE)</f>
        <v>0</v>
      </c>
      <c r="J47" s="233">
        <f>COUNTIFS(E51:E78,"*caminos*",I51:I78,TRUE)</f>
        <v>0</v>
      </c>
      <c r="K47" s="228">
        <v>0</v>
      </c>
      <c r="L47" s="82"/>
      <c r="M47" s="82"/>
      <c r="N47" s="52">
        <f>VLOOKUP(Tabla7[[#This Row],[ASIGNATURAS Plan 2023]],Autobaremo!$H$10:$L$73,5,FALSE)</f>
        <v>1</v>
      </c>
      <c r="O47" s="185" t="s">
        <v>170</v>
      </c>
      <c r="P47" s="143"/>
      <c r="Q47" s="478" t="s">
        <v>115</v>
      </c>
      <c r="R47" s="499"/>
      <c r="T47" s="363"/>
      <c r="U47" s="363"/>
      <c r="V47" s="363"/>
      <c r="W47" s="363"/>
      <c r="X47" s="363"/>
      <c r="Y47" s="363"/>
      <c r="Z47" s="363"/>
      <c r="AA47" s="363"/>
      <c r="AB47" s="363"/>
      <c r="AC47" s="363"/>
    </row>
    <row r="48" spans="1:29" ht="24.95" customHeight="1" thickBot="1" x14ac:dyDescent="0.3">
      <c r="A48" s="16"/>
      <c r="B48" s="287" t="s">
        <v>58</v>
      </c>
      <c r="C48" s="314">
        <v>6</v>
      </c>
      <c r="D48" s="82">
        <v>3</v>
      </c>
      <c r="E48" s="250" t="str">
        <f>IF(E62&lt;&gt;"",E62,"---")</f>
        <v>---</v>
      </c>
      <c r="F48" s="202">
        <v>3</v>
      </c>
      <c r="G48" s="151" t="s">
        <v>94</v>
      </c>
      <c r="H48" s="151" t="str">
        <f>$D$100</f>
        <v>--</v>
      </c>
      <c r="I48" s="203" t="b">
        <f>IF(Tabla7[[#This Row],[ADAPTACIÓN
POR…]]&lt;&gt;"---",TRUE,FALSE)</f>
        <v>0</v>
      </c>
      <c r="J48" s="14">
        <f>IF(J49=3, COUNTIFS(E47:E78,"*(~*~*~*)",I47:I78,TRUE)+1,COUNTIFS(E47:E78,"*(~*~*~*)",I47:I78,TRUE))</f>
        <v>0</v>
      </c>
      <c r="K48" s="228">
        <f>6*Tabla7[[#This Row],[ASIGNATURAS Plan 2010]]</f>
        <v>0</v>
      </c>
      <c r="L48" s="82"/>
      <c r="M48" s="82"/>
      <c r="N48" s="52">
        <f>VLOOKUP(Tabla7[[#This Row],[ASIGNATURAS Plan 2023]],Autobaremo!$H$10:$L$73,5,FALSE)</f>
        <v>1</v>
      </c>
      <c r="O48" s="185" t="s">
        <v>170</v>
      </c>
      <c r="P48" s="55"/>
      <c r="Q48" s="479"/>
      <c r="R48" s="500"/>
      <c r="T48" s="363"/>
      <c r="U48" s="363"/>
      <c r="V48" s="363"/>
      <c r="W48" s="363"/>
      <c r="X48" s="363"/>
      <c r="Y48" s="363"/>
      <c r="Z48" s="363"/>
      <c r="AA48" s="363"/>
      <c r="AB48" s="363"/>
      <c r="AC48" s="363"/>
    </row>
    <row r="49" spans="1:29" ht="24.95" customHeight="1" thickBot="1" x14ac:dyDescent="0.3">
      <c r="A49" s="16"/>
      <c r="B49" s="287" t="s">
        <v>53</v>
      </c>
      <c r="C49" s="314">
        <v>6</v>
      </c>
      <c r="D49" s="82">
        <v>3</v>
      </c>
      <c r="E49" s="250" t="str">
        <f>IF(AND(E54&lt;&gt;"",J49&gt;1),E54&amp;"(***)",IF(E54&lt;&gt;"",E54,"---"))</f>
        <v>---</v>
      </c>
      <c r="F49" s="202">
        <v>3</v>
      </c>
      <c r="G49" s="151" t="s">
        <v>94</v>
      </c>
      <c r="H49" s="151" t="str">
        <f>$D$100</f>
        <v>--</v>
      </c>
      <c r="I49" s="203" t="b">
        <f>IF(Tabla7[[#This Row],[ADAPTACIÓN
POR…]]&lt;&gt;"---",TRUE,FALSE)</f>
        <v>0</v>
      </c>
      <c r="J49" s="233">
        <f>COUNTIFS(E51:E78,"*Sanitaria*",I51:I78,TRUE)</f>
        <v>0</v>
      </c>
      <c r="K49" s="228">
        <v>0</v>
      </c>
      <c r="L49" s="82"/>
      <c r="M49" s="82"/>
      <c r="N49" s="52">
        <f>VLOOKUP(Tabla7[[#This Row],[ASIGNATURAS Plan 2023]],Autobaremo!$H$10:$L$73,5,FALSE)</f>
        <v>1</v>
      </c>
      <c r="O49" s="185" t="s">
        <v>170</v>
      </c>
      <c r="P49" s="61"/>
      <c r="Q49" s="480"/>
      <c r="R49" s="501"/>
      <c r="T49" s="363"/>
      <c r="U49" s="363"/>
      <c r="V49" s="363"/>
      <c r="W49" s="363"/>
      <c r="X49" s="363"/>
      <c r="Y49" s="363"/>
      <c r="Z49" s="363"/>
      <c r="AA49" s="363"/>
      <c r="AB49" s="363"/>
      <c r="AC49" s="363"/>
    </row>
    <row r="50" spans="1:29" ht="24.95" customHeight="1" thickBot="1" x14ac:dyDescent="0.3">
      <c r="A50" s="26"/>
      <c r="B50" s="26" t="s">
        <v>45</v>
      </c>
      <c r="C50" s="320"/>
      <c r="D50" s="225"/>
      <c r="E50" s="285"/>
      <c r="F50" s="57"/>
      <c r="G50" s="121"/>
      <c r="H50" s="52"/>
      <c r="I50" s="214">
        <f>COUNTIF(I51:I58,TRUE)</f>
        <v>0</v>
      </c>
      <c r="J50" s="26" t="str">
        <f>IF(Tabla7[[#This Row],[marcar las superadas]]&gt;0,"CV","")</f>
        <v/>
      </c>
      <c r="K50" s="230">
        <v>0</v>
      </c>
      <c r="L50" s="225"/>
      <c r="M50" s="101"/>
      <c r="N50" s="56">
        <v>0</v>
      </c>
      <c r="O50" s="186"/>
      <c r="P50" s="142"/>
      <c r="Q50" s="142"/>
      <c r="R50" s="146"/>
      <c r="T50" s="363"/>
      <c r="U50" s="363"/>
      <c r="V50" s="363"/>
      <c r="W50" s="363"/>
      <c r="X50" s="363"/>
      <c r="Y50" s="363"/>
      <c r="Z50" s="363"/>
      <c r="AA50" s="363"/>
      <c r="AB50" s="363"/>
      <c r="AC50" s="363"/>
    </row>
    <row r="51" spans="1:29" ht="24.95" customHeight="1" x14ac:dyDescent="0.25">
      <c r="A51" s="222" t="s">
        <v>49</v>
      </c>
      <c r="B51" s="108" t="str">
        <f>IF(Tabla7[[#This Row],[OPT]]="D",A51&amp;"(**)",IF(Tabla7[[#This Row],[OPT]]="X",A51&amp;"(***)",A51))</f>
        <v>Ingeniería Marítima y Costera</v>
      </c>
      <c r="C51" s="314">
        <v>6</v>
      </c>
      <c r="D51" s="82">
        <v>3</v>
      </c>
      <c r="E51" s="250" t="str">
        <f>IF(G63="D","(*)",    IF(G51="X","(***)",IF(G51="D",J63,IF(G51="B",J51,IF(G51="P",J51,"--")))))</f>
        <v>--</v>
      </c>
      <c r="F51" s="92">
        <v>5</v>
      </c>
      <c r="G51" s="369" t="str">
        <f>IF(AND($F$6=2,I51,I63),"X",IF(AND(F6=1,I51),"B",IF(AND(F6=1,I63),"D",IF(AND(F6&lt;&gt;1,I51),"P","?"))))</f>
        <v>?</v>
      </c>
      <c r="H51" s="52" t="s">
        <v>95</v>
      </c>
      <c r="I51" s="157" t="b">
        <f>Autobaremo!D46</f>
        <v>0</v>
      </c>
      <c r="J51" s="14" t="s">
        <v>49</v>
      </c>
      <c r="K51" s="228">
        <v>6</v>
      </c>
      <c r="L51" s="223" t="b">
        <f>IF(Tabla7[[#This Row],[OPT]]="D",TRUE,Tabla7[[#This Row],[marcar las superadas]])</f>
        <v>0</v>
      </c>
      <c r="M51" s="100">
        <v>3</v>
      </c>
      <c r="N51" s="52">
        <f>VLOOKUP(Tabla7[[#This Row],[ASIGNATURAS Plan 2023]],Autobaremo!$H$10:$L$73,5,FALSE)</f>
        <v>1</v>
      </c>
      <c r="P51" s="55"/>
      <c r="Q51" s="470" t="s">
        <v>115</v>
      </c>
      <c r="R51" s="473" t="s">
        <v>116</v>
      </c>
      <c r="T51" s="363"/>
      <c r="U51" s="363"/>
      <c r="V51" s="363"/>
      <c r="W51" s="363"/>
      <c r="X51" s="363"/>
      <c r="Y51" s="363"/>
      <c r="Z51" s="363"/>
      <c r="AA51" s="363"/>
      <c r="AB51" s="363"/>
      <c r="AC51" s="363"/>
    </row>
    <row r="52" spans="1:29" ht="24.95" customHeight="1" x14ac:dyDescent="0.25">
      <c r="A52" s="132"/>
      <c r="B52" s="132" t="s">
        <v>50</v>
      </c>
      <c r="C52" s="321">
        <v>6</v>
      </c>
      <c r="D52" s="277">
        <v>3</v>
      </c>
      <c r="E52" s="250" t="str">
        <f>IF( $I52,Adaptación!$J52,   IF(I70,E70, ""))</f>
        <v/>
      </c>
      <c r="F52" s="92">
        <v>5</v>
      </c>
      <c r="G52" s="370" t="s">
        <v>181</v>
      </c>
      <c r="H52" s="52"/>
      <c r="I52" s="157" t="b">
        <f>Autobaremo!D47</f>
        <v>0</v>
      </c>
      <c r="J52" s="14" t="s">
        <v>50</v>
      </c>
      <c r="K52" s="228">
        <v>6</v>
      </c>
      <c r="L52" s="223" t="b">
        <f>IF(Tabla7[[#This Row],[OPT]]="D",TRUE,Tabla7[[#This Row],[marcar las superadas]])</f>
        <v>0</v>
      </c>
      <c r="M52" s="100">
        <v>3</v>
      </c>
      <c r="N52" s="52">
        <f>VLOOKUP(Tabla7[[#This Row],[ASIGNATURAS Plan 2023]],Autobaremo!$H$10:$L$73,5,FALSE)</f>
        <v>1</v>
      </c>
      <c r="P52" s="55"/>
      <c r="Q52" s="471"/>
      <c r="R52" s="471"/>
      <c r="T52" s="363"/>
      <c r="U52" s="363"/>
      <c r="V52" s="363"/>
      <c r="W52" s="363"/>
      <c r="X52" s="363"/>
      <c r="Y52" s="363"/>
      <c r="Z52" s="363"/>
      <c r="AA52" s="363"/>
      <c r="AB52" s="363"/>
      <c r="AC52" s="363"/>
    </row>
    <row r="53" spans="1:29" ht="24.95" customHeight="1" thickBot="1" x14ac:dyDescent="0.3">
      <c r="A53" s="108" t="s">
        <v>51</v>
      </c>
      <c r="B53" s="108" t="str">
        <f>IF(Tabla7[[#This Row],[OPT]]="D",A53&amp;"(**)",IF(Tabla7[[#This Row],[OPT]]="X",A53&amp;"(***)",A53))</f>
        <v>Ferrocarriles</v>
      </c>
      <c r="C53" s="314">
        <v>6</v>
      </c>
      <c r="D53" s="82">
        <v>3</v>
      </c>
      <c r="E53" s="250" t="str">
        <f>IF(G71="D","(*)",    IF(G53="X","(***)",IF(G53="D",J71,IF(G53="B",J53,IF(G53="P",J53,"--")))))</f>
        <v>--</v>
      </c>
      <c r="F53" s="92">
        <v>5</v>
      </c>
      <c r="G53" s="371" t="str">
        <f>IF(AND($F$6=3,I53,I71),"X",IF(AND(F6=1,I53),"B",IF(AND(F6=1,I71),"D",IF(AND(F6&lt;&gt;1,I53),"P","?"))))</f>
        <v>?</v>
      </c>
      <c r="H53" s="232" t="s">
        <v>95</v>
      </c>
      <c r="I53" s="157" t="b">
        <f>Autobaremo!D53</f>
        <v>0</v>
      </c>
      <c r="J53" s="14" t="s">
        <v>51</v>
      </c>
      <c r="K53" s="228">
        <v>6</v>
      </c>
      <c r="L53" s="223" t="b">
        <f>IF(Tabla7[[#This Row],[OPT]]="D",TRUE,Tabla7[[#This Row],[marcar las superadas]])</f>
        <v>0</v>
      </c>
      <c r="M53" s="100">
        <v>4</v>
      </c>
      <c r="N53" s="52">
        <f>VLOOKUP(Tabla7[[#This Row],[ASIGNATURAS Plan 2023]],Autobaremo!$H$10:$L$73,5,FALSE)</f>
        <v>2</v>
      </c>
      <c r="P53" s="55"/>
      <c r="Q53" s="472"/>
      <c r="R53" s="471"/>
      <c r="T53" s="363"/>
      <c r="U53" s="363"/>
      <c r="V53" s="363"/>
      <c r="W53" s="363"/>
      <c r="X53" s="363"/>
      <c r="Y53" s="363"/>
      <c r="Z53" s="363"/>
      <c r="AA53" s="363"/>
      <c r="AB53" s="363"/>
      <c r="AC53" s="363"/>
    </row>
    <row r="54" spans="1:29" ht="24.95" customHeight="1" thickBot="1" x14ac:dyDescent="0.3">
      <c r="A54" s="132"/>
      <c r="B54" s="132" t="s">
        <v>53</v>
      </c>
      <c r="C54" s="321">
        <v>6</v>
      </c>
      <c r="D54" s="277">
        <v>3</v>
      </c>
      <c r="E54" s="250" t="str">
        <f>IF( $I54,   Adaptación!$J54,   IF(I60,E60, IF(I72,E72,"")))</f>
        <v/>
      </c>
      <c r="F54" s="92">
        <v>5</v>
      </c>
      <c r="G54" s="121" t="s">
        <v>181</v>
      </c>
      <c r="H54" s="52" t="str">
        <f>IF(Tabla7[[#This Row],[marcar las superadas]],"CV","")</f>
        <v/>
      </c>
      <c r="I54" s="157" t="b">
        <f>Autobaremo!D49</f>
        <v>0</v>
      </c>
      <c r="J54" s="14" t="s">
        <v>54</v>
      </c>
      <c r="K54" s="228">
        <v>6</v>
      </c>
      <c r="L54" s="223" t="b">
        <f>IF(Tabla7[[#This Row],[OPT]]="D",TRUE,Tabla7[[#This Row],[marcar las superadas]])</f>
        <v>0</v>
      </c>
      <c r="M54" s="100">
        <v>3</v>
      </c>
      <c r="N54" s="52">
        <f>VLOOKUP(Tabla7[[#This Row],[ASIGNATURAS Plan 2023]],Autobaremo!$H$10:$L$73,5,FALSE)</f>
        <v>1</v>
      </c>
      <c r="P54" s="55"/>
      <c r="Q54" s="341"/>
      <c r="R54" s="471"/>
      <c r="T54" s="363"/>
      <c r="U54" s="363"/>
      <c r="V54" s="363"/>
      <c r="W54" s="363"/>
      <c r="X54" s="363"/>
      <c r="Y54" s="363"/>
      <c r="Z54" s="363"/>
      <c r="AA54" s="363"/>
      <c r="AB54" s="363"/>
      <c r="AC54" s="363"/>
    </row>
    <row r="55" spans="1:29" ht="24.95" customHeight="1" x14ac:dyDescent="0.25">
      <c r="A55" s="108"/>
      <c r="B55" s="303" t="s">
        <v>46</v>
      </c>
      <c r="C55" s="318">
        <v>6</v>
      </c>
      <c r="D55" s="304">
        <v>4</v>
      </c>
      <c r="E55" s="250" t="str">
        <f>IF($I55,Adaptación!$J55,   "--")</f>
        <v>--</v>
      </c>
      <c r="F55" s="92">
        <v>6</v>
      </c>
      <c r="G55" s="370" t="str">
        <f t="shared" ref="G55:G58" si="0">IF(   AND($F$6&lt;&gt;1,$F$6&lt;4),"P","")</f>
        <v/>
      </c>
      <c r="H55" s="52" t="s">
        <v>95</v>
      </c>
      <c r="I55" s="157" t="b">
        <f>Autobaremo!D50</f>
        <v>0</v>
      </c>
      <c r="J55" s="14" t="s">
        <v>46</v>
      </c>
      <c r="K55" s="228">
        <v>6</v>
      </c>
      <c r="L55" s="223" t="b">
        <f>IF(Tabla7[[#This Row],[OPT]]="D",TRUE,Tabla7[[#This Row],[marcar las superadas]])</f>
        <v>0</v>
      </c>
      <c r="M55" s="100">
        <v>4</v>
      </c>
      <c r="N55" s="52">
        <f>VLOOKUP(Tabla7[[#This Row],[ASIGNATURAS Plan 2023]],Autobaremo!$H$10:$L$73,5,FALSE)</f>
        <v>2</v>
      </c>
      <c r="P55" s="55"/>
      <c r="Q55" s="55"/>
      <c r="R55" s="471"/>
      <c r="T55" s="363"/>
      <c r="U55" s="363"/>
      <c r="V55" s="363"/>
      <c r="W55" s="363"/>
      <c r="X55" s="363"/>
      <c r="Y55" s="363"/>
      <c r="Z55" s="363"/>
      <c r="AA55" s="363"/>
      <c r="AB55" s="363"/>
      <c r="AC55" s="363"/>
    </row>
    <row r="56" spans="1:29" ht="24.95" customHeight="1" x14ac:dyDescent="0.25">
      <c r="A56" s="108"/>
      <c r="B56" s="303" t="s">
        <v>47</v>
      </c>
      <c r="C56" s="318">
        <v>3</v>
      </c>
      <c r="D56" s="304">
        <v>4</v>
      </c>
      <c r="E56" s="250" t="str">
        <f>IF($I56,Adaptación!$J56,   "--")</f>
        <v>--</v>
      </c>
      <c r="F56" s="92">
        <v>6</v>
      </c>
      <c r="G56" s="370" t="str">
        <f t="shared" si="0"/>
        <v/>
      </c>
      <c r="H56" s="52" t="s">
        <v>95</v>
      </c>
      <c r="I56" s="157" t="b">
        <f>Autobaremo!D51</f>
        <v>0</v>
      </c>
      <c r="J56" s="14" t="s">
        <v>47</v>
      </c>
      <c r="K56" s="228">
        <v>3</v>
      </c>
      <c r="L56" s="223" t="b">
        <f>IF(Tabla7[[#This Row],[OPT]]="D",TRUE,Tabla7[[#This Row],[marcar las superadas]])</f>
        <v>0</v>
      </c>
      <c r="M56" s="100">
        <v>4</v>
      </c>
      <c r="N56" s="52">
        <f>VLOOKUP(Tabla7[[#This Row],[ASIGNATURAS Plan 2023]],Autobaremo!$H$10:$L$73,5,FALSE)</f>
        <v>1</v>
      </c>
      <c r="P56" s="55"/>
      <c r="Q56" s="55"/>
      <c r="R56" s="471"/>
      <c r="T56" s="363"/>
      <c r="U56" s="363"/>
      <c r="V56" s="363"/>
      <c r="W56" s="363"/>
      <c r="X56" s="363"/>
      <c r="Y56" s="363"/>
      <c r="Z56" s="363"/>
      <c r="AA56" s="363"/>
      <c r="AB56" s="363"/>
      <c r="AC56" s="363"/>
    </row>
    <row r="57" spans="1:29" ht="24.95" customHeight="1" x14ac:dyDescent="0.25">
      <c r="A57" s="108"/>
      <c r="B57" s="303" t="s">
        <v>48</v>
      </c>
      <c r="C57" s="318">
        <v>9</v>
      </c>
      <c r="D57" s="304">
        <v>4</v>
      </c>
      <c r="E57" s="250" t="str">
        <f>IF($I57,Adaptación!$J57,   "--")</f>
        <v>--</v>
      </c>
      <c r="F57" s="92">
        <v>6</v>
      </c>
      <c r="G57" s="370" t="str">
        <f t="shared" si="0"/>
        <v/>
      </c>
      <c r="H57" s="52" t="s">
        <v>95</v>
      </c>
      <c r="I57" s="157" t="b">
        <f>Autobaremo!D52</f>
        <v>0</v>
      </c>
      <c r="J57" s="14" t="s">
        <v>48</v>
      </c>
      <c r="K57" s="228">
        <v>9</v>
      </c>
      <c r="L57" s="223" t="b">
        <f>IF(Tabla7[[#This Row],[OPT]]="D",TRUE,Tabla7[[#This Row],[marcar las superadas]])</f>
        <v>0</v>
      </c>
      <c r="M57" s="100">
        <v>4</v>
      </c>
      <c r="N57" s="52">
        <f>VLOOKUP(Tabla7[[#This Row],[ASIGNATURAS Plan 2023]],Autobaremo!$H$10:$L$73,5,FALSE)</f>
        <v>1</v>
      </c>
      <c r="P57" s="55"/>
      <c r="Q57" s="55"/>
      <c r="R57" s="471"/>
      <c r="T57" s="363"/>
      <c r="U57" s="363"/>
      <c r="V57" s="363"/>
      <c r="W57" s="363"/>
      <c r="X57" s="363"/>
      <c r="Y57" s="363"/>
      <c r="Z57" s="363"/>
      <c r="AA57" s="363"/>
      <c r="AB57" s="363"/>
      <c r="AC57" s="363"/>
    </row>
    <row r="58" spans="1:29" ht="24.95" customHeight="1" thickBot="1" x14ac:dyDescent="0.3">
      <c r="A58" s="108"/>
      <c r="B58" s="303" t="s">
        <v>52</v>
      </c>
      <c r="C58" s="318">
        <v>6</v>
      </c>
      <c r="D58" s="304">
        <v>4</v>
      </c>
      <c r="E58" s="250" t="str">
        <f>IF($I58,Adaptación!$J58,   "--")</f>
        <v>--</v>
      </c>
      <c r="F58" s="92">
        <v>6</v>
      </c>
      <c r="G58" s="370" t="str">
        <f t="shared" si="0"/>
        <v/>
      </c>
      <c r="H58" s="52" t="s">
        <v>95</v>
      </c>
      <c r="I58" s="157" t="b">
        <f>Autobaremo!D48</f>
        <v>0</v>
      </c>
      <c r="J58" s="14" t="s">
        <v>52</v>
      </c>
      <c r="K58" s="228">
        <v>6</v>
      </c>
      <c r="L58" s="223" t="b">
        <f>IF(Tabla7[[#This Row],[OPT]]="D",TRUE,Tabla7[[#This Row],[marcar las superadas]])</f>
        <v>0</v>
      </c>
      <c r="M58" s="100">
        <v>3</v>
      </c>
      <c r="N58" s="52">
        <f>VLOOKUP(Tabla7[[#This Row],[ASIGNATURAS Plan 2023]],Autobaremo!$H$10:$L$73,5,FALSE)</f>
        <v>1</v>
      </c>
      <c r="P58" s="55"/>
      <c r="Q58" s="55"/>
      <c r="R58" s="472"/>
      <c r="T58" s="363"/>
      <c r="U58" s="363"/>
      <c r="V58" s="363"/>
      <c r="W58" s="363"/>
      <c r="X58" s="363"/>
      <c r="Y58" s="363"/>
      <c r="Z58" s="363"/>
      <c r="AA58" s="363"/>
      <c r="AB58" s="363"/>
      <c r="AC58" s="363"/>
    </row>
    <row r="59" spans="1:29" ht="24.95" customHeight="1" thickBot="1" x14ac:dyDescent="0.3">
      <c r="A59" s="26"/>
      <c r="B59" s="26" t="s">
        <v>55</v>
      </c>
      <c r="C59" s="320"/>
      <c r="D59" s="225"/>
      <c r="E59" s="285"/>
      <c r="F59" s="57"/>
      <c r="G59" s="372"/>
      <c r="H59" s="52"/>
      <c r="I59" s="214">
        <f>COUNTIF(I60:I68,TRUE)</f>
        <v>0</v>
      </c>
      <c r="J59" s="26" t="str">
        <f>IF(Tabla7[[#This Row],[marcar las superadas]]&gt;0,"HI","")</f>
        <v/>
      </c>
      <c r="K59" s="230">
        <v>0</v>
      </c>
      <c r="L59" s="225"/>
      <c r="M59" s="101"/>
      <c r="N59" s="56">
        <v>0</v>
      </c>
      <c r="O59" s="187"/>
      <c r="P59" s="56"/>
      <c r="Q59" s="56"/>
      <c r="R59" s="57"/>
      <c r="T59" s="363"/>
      <c r="U59" s="363"/>
      <c r="V59" s="363"/>
      <c r="W59" s="363"/>
      <c r="X59" s="363"/>
      <c r="Y59" s="363"/>
      <c r="Z59" s="363"/>
      <c r="AA59" s="363"/>
      <c r="AB59" s="363"/>
      <c r="AC59" s="363"/>
    </row>
    <row r="60" spans="1:29" ht="24.95" customHeight="1" x14ac:dyDescent="0.25">
      <c r="A60" s="133"/>
      <c r="B60" s="133" t="s">
        <v>53</v>
      </c>
      <c r="C60" s="321">
        <v>6</v>
      </c>
      <c r="D60" s="277">
        <v>3</v>
      </c>
      <c r="E60" s="250" t="str">
        <f>IF($I60,Adaptación!$J60,   "--")</f>
        <v>--</v>
      </c>
      <c r="F60" s="93">
        <v>7</v>
      </c>
      <c r="G60" s="121" t="s">
        <v>181</v>
      </c>
      <c r="H60" s="52" t="str">
        <f>IF(Tabla7[[#This Row],[marcar las superadas]],"HI","")</f>
        <v/>
      </c>
      <c r="I60" s="157" t="b">
        <f>Autobaremo!D56</f>
        <v>0</v>
      </c>
      <c r="J60" s="14" t="s">
        <v>53</v>
      </c>
      <c r="K60" s="228">
        <v>6</v>
      </c>
      <c r="L60" s="223" t="b">
        <f>IF(Tabla7[[#This Row],[OPT]]="D",TRUE,Tabla7[[#This Row],[marcar las superadas]])</f>
        <v>0</v>
      </c>
      <c r="M60" s="100">
        <v>3</v>
      </c>
      <c r="N60" s="52">
        <f>VLOOKUP(Tabla7[[#This Row],[ASIGNATURAS Plan 2023]],Autobaremo!$H$10:$L$73,5,FALSE)</f>
        <v>1</v>
      </c>
      <c r="P60" s="55"/>
      <c r="Q60" s="340" t="s">
        <v>115</v>
      </c>
      <c r="R60" s="344" t="s">
        <v>117</v>
      </c>
      <c r="T60" s="363"/>
      <c r="U60" s="363"/>
      <c r="V60" s="363"/>
      <c r="W60" s="363"/>
      <c r="X60" s="363"/>
      <c r="Y60" s="363"/>
      <c r="Z60" s="363"/>
      <c r="AA60" s="363"/>
      <c r="AB60" s="363"/>
      <c r="AC60" s="363"/>
    </row>
    <row r="61" spans="1:29" ht="24.95" customHeight="1" x14ac:dyDescent="0.25">
      <c r="A61" s="133"/>
      <c r="B61" s="133" t="s">
        <v>57</v>
      </c>
      <c r="C61" s="314">
        <v>6</v>
      </c>
      <c r="D61" s="82">
        <v>3</v>
      </c>
      <c r="E61" s="250" t="str">
        <f>IF($I61,Adaptación!$J61,   "--")</f>
        <v>--</v>
      </c>
      <c r="F61" s="93">
        <v>7</v>
      </c>
      <c r="G61" s="370" t="str">
        <f>IF(   AND($F$6&lt;&gt;2,$F$6&lt;4),"P","")</f>
        <v/>
      </c>
      <c r="H61" s="52" t="s">
        <v>96</v>
      </c>
      <c r="I61" s="157" t="b">
        <f>Autobaremo!D57</f>
        <v>0</v>
      </c>
      <c r="J61" s="14" t="s">
        <v>57</v>
      </c>
      <c r="K61" s="228">
        <v>6</v>
      </c>
      <c r="L61" s="223" t="b">
        <f>IF(Tabla7[[#This Row],[OPT]]="D",TRUE,Tabla7[[#This Row],[marcar las superadas]])</f>
        <v>0</v>
      </c>
      <c r="M61" s="100">
        <v>3</v>
      </c>
      <c r="N61" s="52">
        <f>VLOOKUP(Tabla7[[#This Row],[ASIGNATURAS Plan 2023]],Autobaremo!$H$10:$L$73,5,FALSE)</f>
        <v>2</v>
      </c>
      <c r="P61" s="55"/>
      <c r="Q61" s="474" t="s">
        <v>115</v>
      </c>
      <c r="R61" s="475" t="s">
        <v>116</v>
      </c>
      <c r="T61" s="363"/>
      <c r="U61" s="363"/>
      <c r="V61" s="363"/>
      <c r="W61" s="363"/>
      <c r="X61" s="363"/>
      <c r="Y61" s="363"/>
      <c r="Z61" s="363"/>
      <c r="AA61" s="363"/>
      <c r="AB61" s="363"/>
      <c r="AC61" s="363"/>
    </row>
    <row r="62" spans="1:29" ht="24.95" customHeight="1" x14ac:dyDescent="0.25">
      <c r="A62" s="234"/>
      <c r="B62" s="234" t="s">
        <v>58</v>
      </c>
      <c r="C62" s="321">
        <v>6</v>
      </c>
      <c r="D62" s="277">
        <v>3</v>
      </c>
      <c r="E62" s="250" t="str">
        <f>IF( $I62,Adaptación!$J62, "")</f>
        <v/>
      </c>
      <c r="F62" s="93">
        <v>7</v>
      </c>
      <c r="G62" s="370" t="s">
        <v>181</v>
      </c>
      <c r="H62" s="52"/>
      <c r="I62" s="157" t="b">
        <f>Autobaremo!D58</f>
        <v>0</v>
      </c>
      <c r="J62" s="14" t="s">
        <v>58</v>
      </c>
      <c r="K62" s="228">
        <v>6</v>
      </c>
      <c r="L62" s="223" t="b">
        <f>IF(Tabla7[[#This Row],[OPT]]="D",TRUE,Tabla7[[#This Row],[marcar las superadas]])</f>
        <v>0</v>
      </c>
      <c r="M62" s="100">
        <v>3</v>
      </c>
      <c r="N62" s="52">
        <f>VLOOKUP(Tabla7[[#This Row],[ASIGNATURAS Plan 2023]],Autobaremo!$H$10:$L$73,5,FALSE)</f>
        <v>1</v>
      </c>
      <c r="P62" s="55"/>
      <c r="Q62" s="471"/>
      <c r="R62" s="476"/>
      <c r="T62" s="363"/>
      <c r="U62" s="363"/>
      <c r="V62" s="363"/>
      <c r="W62" s="363"/>
      <c r="X62" s="363"/>
      <c r="Y62" s="363"/>
      <c r="Z62" s="363"/>
      <c r="AA62" s="363"/>
      <c r="AB62" s="363"/>
      <c r="AC62" s="363"/>
    </row>
    <row r="63" spans="1:29" ht="24.95" customHeight="1" thickBot="1" x14ac:dyDescent="0.3">
      <c r="A63" s="133" t="s">
        <v>49</v>
      </c>
      <c r="B63" s="133" t="str">
        <f>IF(Tabla7[[#This Row],[OPT]]="D",A63&amp;"(**)",IF(Tabla7[[#This Row],[OPT]]="X",A63&amp;"(***)",A63))</f>
        <v>Ingeniería Marítima y Costera</v>
      </c>
      <c r="C63" s="314">
        <v>6</v>
      </c>
      <c r="D63" s="82">
        <v>3</v>
      </c>
      <c r="E63" s="250" t="str">
        <f>IF(G51="D","(*)",    IF(G63="X","(***)",IF(G63="D",J63,IF(G63="B",J51,IF(G63="P",J51,"--")))))</f>
        <v>--</v>
      </c>
      <c r="F63" s="94">
        <v>7</v>
      </c>
      <c r="G63" s="371" t="str">
        <f>IF(AND($F$6=1,I63,I51),"X",IF(AND(F6=2,I63),"B",IF(AND(F6=2,I51),"D",IF(AND(F6&lt;&gt;2,I63),"P","?"))))</f>
        <v>?</v>
      </c>
      <c r="H63" s="52" t="s">
        <v>96</v>
      </c>
      <c r="I63" s="157" t="b">
        <f>Autobaremo!D61</f>
        <v>0</v>
      </c>
      <c r="J63" s="14" t="s">
        <v>60</v>
      </c>
      <c r="K63" s="228">
        <v>6</v>
      </c>
      <c r="L63" s="223" t="b">
        <f>IF(Tabla7[[#This Row],[OPT]]="D",TRUE,Tabla7[[#This Row],[marcar las superadas]])</f>
        <v>0</v>
      </c>
      <c r="M63" s="100">
        <v>4</v>
      </c>
      <c r="N63" s="52">
        <f>VLOOKUP(Tabla7[[#This Row],[ASIGNATURAS Plan 2023]],Autobaremo!$H$10:$L$73,5,FALSE)</f>
        <v>1</v>
      </c>
      <c r="P63" s="55"/>
      <c r="Q63" s="472"/>
      <c r="R63" s="476"/>
      <c r="T63" s="363"/>
      <c r="U63" s="363"/>
      <c r="V63" s="363"/>
      <c r="W63" s="363"/>
      <c r="X63" s="363"/>
      <c r="Y63" s="363"/>
      <c r="Z63" s="363"/>
      <c r="AA63" s="363"/>
      <c r="AB63" s="363"/>
      <c r="AC63" s="363"/>
    </row>
    <row r="64" spans="1:29" ht="24.95" customHeight="1" x14ac:dyDescent="0.25">
      <c r="A64" s="133"/>
      <c r="B64" s="234" t="s">
        <v>56</v>
      </c>
      <c r="C64" s="318">
        <v>6</v>
      </c>
      <c r="D64" s="304">
        <v>4</v>
      </c>
      <c r="E64" s="250" t="str">
        <f>IF($I64,Adaptación!$J64,   "--")</f>
        <v>--</v>
      </c>
      <c r="F64" s="93">
        <v>8</v>
      </c>
      <c r="G64" s="370" t="str">
        <f t="shared" ref="G64:G68" si="1">IF(   AND($F$6&lt;&gt;2,$F$6&lt;4),"P","")</f>
        <v/>
      </c>
      <c r="H64" s="52" t="s">
        <v>96</v>
      </c>
      <c r="I64" s="157" t="b">
        <f>Autobaremo!D55</f>
        <v>0</v>
      </c>
      <c r="J64" s="14" t="s">
        <v>56</v>
      </c>
      <c r="K64" s="228">
        <v>6</v>
      </c>
      <c r="L64" s="223" t="b">
        <f>IF(Tabla7[[#This Row],[OPT]]="D",TRUE,Tabla7[[#This Row],[marcar las superadas]])</f>
        <v>0</v>
      </c>
      <c r="M64" s="100">
        <v>3</v>
      </c>
      <c r="N64" s="52">
        <f>VLOOKUP(Tabla7[[#This Row],[ASIGNATURAS Plan 2023]],Autobaremo!$H$10:$L$73,5,FALSE)</f>
        <v>1</v>
      </c>
      <c r="P64" s="55"/>
      <c r="Q64" s="55"/>
      <c r="R64" s="476"/>
      <c r="T64" s="363"/>
      <c r="U64" s="363"/>
      <c r="V64" s="363"/>
      <c r="W64" s="363"/>
      <c r="X64" s="363"/>
      <c r="Y64" s="363"/>
      <c r="Z64" s="363"/>
      <c r="AA64" s="363"/>
      <c r="AB64" s="363"/>
      <c r="AC64" s="363"/>
    </row>
    <row r="65" spans="1:29" ht="24.95" customHeight="1" x14ac:dyDescent="0.25">
      <c r="A65" s="133"/>
      <c r="B65" s="234" t="s">
        <v>59</v>
      </c>
      <c r="C65" s="318">
        <v>6</v>
      </c>
      <c r="D65" s="304">
        <v>4</v>
      </c>
      <c r="E65" s="250" t="str">
        <f>IF($I65,Adaptación!$J65,   "--")</f>
        <v>--</v>
      </c>
      <c r="F65" s="93">
        <v>8</v>
      </c>
      <c r="G65" s="370" t="str">
        <f t="shared" si="1"/>
        <v/>
      </c>
      <c r="H65" s="52" t="s">
        <v>96</v>
      </c>
      <c r="I65" s="157" t="b">
        <f>Autobaremo!D60</f>
        <v>0</v>
      </c>
      <c r="J65" s="14" t="s">
        <v>59</v>
      </c>
      <c r="K65" s="228">
        <v>6</v>
      </c>
      <c r="L65" s="223" t="b">
        <f>IF(Tabla7[[#This Row],[OPT]]="D",TRUE,Tabla7[[#This Row],[marcar las superadas]])</f>
        <v>0</v>
      </c>
      <c r="M65" s="100">
        <v>4</v>
      </c>
      <c r="N65" s="52">
        <f>VLOOKUP(Tabla7[[#This Row],[ASIGNATURAS Plan 2023]],Autobaremo!$H$10:$L$73,5,FALSE)</f>
        <v>1</v>
      </c>
      <c r="P65" s="55"/>
      <c r="Q65" s="55"/>
      <c r="R65" s="476"/>
      <c r="T65" s="363"/>
      <c r="U65" s="363"/>
      <c r="V65" s="363"/>
      <c r="W65" s="363"/>
      <c r="X65" s="363"/>
      <c r="Y65" s="363"/>
      <c r="Z65" s="363"/>
      <c r="AA65" s="363"/>
      <c r="AB65" s="363"/>
      <c r="AC65" s="363"/>
    </row>
    <row r="66" spans="1:29" ht="24.95" customHeight="1" x14ac:dyDescent="0.25">
      <c r="A66" s="133"/>
      <c r="B66" s="234" t="s">
        <v>61</v>
      </c>
      <c r="C66" s="318">
        <v>3</v>
      </c>
      <c r="D66" s="304">
        <v>4</v>
      </c>
      <c r="E66" s="250" t="str">
        <f>IF($I66,Adaptación!$J66,   "--")</f>
        <v>--</v>
      </c>
      <c r="F66" s="93">
        <v>8</v>
      </c>
      <c r="G66" s="370" t="str">
        <f t="shared" si="1"/>
        <v/>
      </c>
      <c r="H66" s="52" t="s">
        <v>96</v>
      </c>
      <c r="I66" s="157" t="b">
        <f>Autobaremo!D62</f>
        <v>0</v>
      </c>
      <c r="J66" s="14" t="s">
        <v>61</v>
      </c>
      <c r="K66" s="228">
        <v>3</v>
      </c>
      <c r="L66" s="223" t="b">
        <f>IF(Tabla7[[#This Row],[OPT]]="D",TRUE,Tabla7[[#This Row],[marcar las superadas]])</f>
        <v>0</v>
      </c>
      <c r="M66" s="100">
        <v>4</v>
      </c>
      <c r="N66" s="52">
        <f>VLOOKUP(Tabla7[[#This Row],[ASIGNATURAS Plan 2023]],Autobaremo!$H$10:$L$73,5,FALSE)</f>
        <v>2</v>
      </c>
      <c r="P66" s="55"/>
      <c r="Q66" s="55"/>
      <c r="R66" s="476"/>
      <c r="T66" s="363"/>
      <c r="U66" s="363"/>
      <c r="V66" s="363"/>
      <c r="W66" s="363"/>
      <c r="X66" s="363"/>
      <c r="Y66" s="363"/>
      <c r="Z66" s="363"/>
      <c r="AA66" s="363"/>
      <c r="AB66" s="363"/>
      <c r="AC66" s="363"/>
    </row>
    <row r="67" spans="1:29" ht="24.95" customHeight="1" x14ac:dyDescent="0.25">
      <c r="A67" s="133"/>
      <c r="B67" s="234" t="s">
        <v>62</v>
      </c>
      <c r="C67" s="318">
        <v>3</v>
      </c>
      <c r="D67" s="304">
        <v>4</v>
      </c>
      <c r="E67" s="250" t="str">
        <f>IF($I67,Adaptación!$J67,   "--")</f>
        <v>--</v>
      </c>
      <c r="F67" s="93">
        <v>8</v>
      </c>
      <c r="G67" s="370" t="str">
        <f t="shared" si="1"/>
        <v/>
      </c>
      <c r="H67" s="52" t="s">
        <v>96</v>
      </c>
      <c r="I67" s="157" t="b">
        <f>Autobaremo!D63</f>
        <v>0</v>
      </c>
      <c r="J67" s="14" t="s">
        <v>62</v>
      </c>
      <c r="K67" s="228">
        <v>3</v>
      </c>
      <c r="L67" s="223" t="b">
        <f>IF(Tabla7[[#This Row],[OPT]]="D",TRUE,Tabla7[[#This Row],[marcar las superadas]])</f>
        <v>0</v>
      </c>
      <c r="M67" s="100">
        <v>4</v>
      </c>
      <c r="N67" s="52">
        <f>VLOOKUP(Tabla7[[#This Row],[ASIGNATURAS Plan 2023]],Autobaremo!$H$10:$L$73,5,FALSE)</f>
        <v>2</v>
      </c>
      <c r="P67" s="55"/>
      <c r="Q67" s="55"/>
      <c r="R67" s="476"/>
      <c r="T67" s="363"/>
      <c r="U67" s="363"/>
      <c r="V67" s="363"/>
      <c r="W67" s="363"/>
      <c r="X67" s="363"/>
      <c r="Y67" s="363"/>
      <c r="Z67" s="363"/>
      <c r="AA67" s="363"/>
      <c r="AB67" s="363"/>
      <c r="AC67" s="363"/>
    </row>
    <row r="68" spans="1:29" ht="24.95" customHeight="1" thickBot="1" x14ac:dyDescent="0.3">
      <c r="A68" s="133"/>
      <c r="B68" s="234" t="s">
        <v>63</v>
      </c>
      <c r="C68" s="318">
        <v>6</v>
      </c>
      <c r="D68" s="304">
        <v>4</v>
      </c>
      <c r="E68" s="250" t="str">
        <f>IF($I68,Adaptación!$J68,   "--")</f>
        <v>--</v>
      </c>
      <c r="F68" s="93">
        <v>8</v>
      </c>
      <c r="G68" s="370" t="str">
        <f t="shared" si="1"/>
        <v/>
      </c>
      <c r="H68" s="52" t="s">
        <v>96</v>
      </c>
      <c r="I68" s="157" t="b">
        <f>Autobaremo!D59</f>
        <v>0</v>
      </c>
      <c r="J68" s="14" t="s">
        <v>63</v>
      </c>
      <c r="K68" s="228">
        <v>6</v>
      </c>
      <c r="L68" s="223" t="b">
        <f>IF(Tabla7[[#This Row],[OPT]]="D",TRUE,Tabla7[[#This Row],[marcar las superadas]])</f>
        <v>0</v>
      </c>
      <c r="M68" s="100">
        <v>3</v>
      </c>
      <c r="N68" s="52">
        <f>VLOOKUP(Tabla7[[#This Row],[ASIGNATURAS Plan 2023]],Autobaremo!$H$10:$L$73,5,FALSE)</f>
        <v>2</v>
      </c>
      <c r="P68" s="55"/>
      <c r="Q68" s="55"/>
      <c r="R68" s="477"/>
      <c r="T68" s="363"/>
      <c r="U68" s="363"/>
      <c r="V68" s="363"/>
      <c r="W68" s="363"/>
      <c r="X68" s="363"/>
      <c r="Y68" s="363"/>
      <c r="Z68" s="363"/>
      <c r="AA68" s="363"/>
      <c r="AB68" s="363"/>
      <c r="AC68" s="363"/>
    </row>
    <row r="69" spans="1:29" ht="24.95" customHeight="1" thickBot="1" x14ac:dyDescent="0.3">
      <c r="A69" s="26" t="str">
        <f>Adaptación!$J69</f>
        <v/>
      </c>
      <c r="B69" s="26" t="s">
        <v>174</v>
      </c>
      <c r="C69" s="322"/>
      <c r="D69" s="225"/>
      <c r="E69" s="285"/>
      <c r="F69" s="57"/>
      <c r="G69" s="121"/>
      <c r="H69" s="52"/>
      <c r="I69" s="214">
        <f>COUNTIF(I70:I78,TRUE)</f>
        <v>0</v>
      </c>
      <c r="J69" s="26" t="str">
        <f>IF(Tabla7[[#This Row],[marcar las superadas]]&gt;0,"TR","")</f>
        <v/>
      </c>
      <c r="K69" s="230">
        <v>0</v>
      </c>
      <c r="L69" s="225"/>
      <c r="M69" s="101"/>
      <c r="N69" s="56">
        <v>0</v>
      </c>
      <c r="O69" s="187"/>
      <c r="P69" s="56"/>
      <c r="Q69" s="56"/>
      <c r="R69" s="57"/>
      <c r="T69" s="363"/>
      <c r="U69" s="363"/>
      <c r="V69" s="363"/>
      <c r="W69" s="363"/>
      <c r="X69" s="363"/>
      <c r="Y69" s="363"/>
      <c r="Z69" s="363"/>
      <c r="AA69" s="363"/>
      <c r="AB69" s="363"/>
      <c r="AC69" s="363"/>
    </row>
    <row r="70" spans="1:29" ht="24.95" customHeight="1" x14ac:dyDescent="0.25">
      <c r="A70" s="132"/>
      <c r="B70" s="132" t="s">
        <v>50</v>
      </c>
      <c r="C70" s="321">
        <v>6</v>
      </c>
      <c r="D70" s="277">
        <v>3</v>
      </c>
      <c r="E70" s="250" t="str">
        <f>IF($I70,Adaptación!$J70,   "--")</f>
        <v>--</v>
      </c>
      <c r="F70" s="95">
        <v>9</v>
      </c>
      <c r="G70" s="121" t="s">
        <v>181</v>
      </c>
      <c r="H70" s="52"/>
      <c r="I70" s="157" t="b">
        <f>Autobaremo!D65</f>
        <v>0</v>
      </c>
      <c r="J70" s="14" t="s">
        <v>65</v>
      </c>
      <c r="K70" s="228">
        <v>6</v>
      </c>
      <c r="L70" s="223" t="b">
        <f>IF(Tabla7[[#This Row],[OPT]]="D",TRUE,Tabla7[[#This Row],[marcar las superadas]])</f>
        <v>0</v>
      </c>
      <c r="M70" s="100">
        <v>3</v>
      </c>
      <c r="N70" s="52">
        <f>VLOOKUP(Tabla7[[#This Row],[ASIGNATURAS Plan 2023]],Autobaremo!$H$10:$L$73,5,FALSE)</f>
        <v>1</v>
      </c>
      <c r="P70" s="55"/>
      <c r="Q70" s="340" t="s">
        <v>115</v>
      </c>
      <c r="R70" s="344" t="s">
        <v>116</v>
      </c>
      <c r="T70" s="363"/>
      <c r="U70" s="363"/>
      <c r="V70" s="363"/>
      <c r="W70" s="363"/>
      <c r="X70" s="363"/>
      <c r="Y70" s="363"/>
      <c r="Z70" s="363"/>
      <c r="AA70" s="363"/>
      <c r="AB70" s="363"/>
      <c r="AC70" s="363"/>
    </row>
    <row r="71" spans="1:29" ht="24.95" customHeight="1" x14ac:dyDescent="0.25">
      <c r="A71" s="108" t="s">
        <v>51</v>
      </c>
      <c r="B71" s="108" t="str">
        <f>IF(Tabla7[[#This Row],[OPT]]="D",A71&amp;"(**)",IF(Tabla7[[#This Row],[OPT]]="X",A71&amp;"(***)",A71))</f>
        <v>Ferrocarriles</v>
      </c>
      <c r="C71" s="314">
        <v>6</v>
      </c>
      <c r="D71" s="82">
        <v>3</v>
      </c>
      <c r="E71" s="250" t="str">
        <f>IF(G53="D","(*)",    IF(G71="X","(***)",IF(G71="D",J53,IF(G71="B",J71,IF(G71="P",J71,"--")))))</f>
        <v>--</v>
      </c>
      <c r="F71" s="95">
        <v>9</v>
      </c>
      <c r="G71" s="183" t="str">
        <f>IF(AND($F$6=1,I53,I71),"X",IF(AND(F6=3,I71),"B",IF(AND(F6=3,I53),"D",IF(AND(F6&lt;&gt;3,I71),"P","?"))))</f>
        <v>?</v>
      </c>
      <c r="H71" s="52" t="s">
        <v>97</v>
      </c>
      <c r="I71" s="157" t="b">
        <f>Autobaremo!D70</f>
        <v>0</v>
      </c>
      <c r="J71" s="14" t="s">
        <v>66</v>
      </c>
      <c r="K71" s="228">
        <v>6</v>
      </c>
      <c r="L71" s="223" t="b">
        <f>IF(Tabla7[[#This Row],[OPT]]="D",TRUE,Tabla7[[#This Row],[marcar las superadas]])</f>
        <v>0</v>
      </c>
      <c r="M71" s="100">
        <v>4</v>
      </c>
      <c r="N71" s="52">
        <f>VLOOKUP(Tabla7[[#This Row],[ASIGNATURAS Plan 2023]],Autobaremo!$H$10:$L$73,5,FALSE)</f>
        <v>2</v>
      </c>
      <c r="P71" s="55"/>
      <c r="Q71" s="474" t="s">
        <v>115</v>
      </c>
      <c r="R71" s="475" t="s">
        <v>116</v>
      </c>
      <c r="T71" s="363"/>
      <c r="U71" s="363"/>
      <c r="V71" s="363"/>
      <c r="W71" s="363"/>
      <c r="X71" s="363"/>
      <c r="Y71" s="363"/>
      <c r="Z71" s="363"/>
      <c r="AA71" s="363"/>
      <c r="AB71" s="363"/>
      <c r="AC71" s="363"/>
    </row>
    <row r="72" spans="1:29" ht="24.95" customHeight="1" x14ac:dyDescent="0.25">
      <c r="A72" s="132"/>
      <c r="B72" s="132" t="s">
        <v>53</v>
      </c>
      <c r="C72" s="321">
        <v>6</v>
      </c>
      <c r="D72" s="277">
        <v>3</v>
      </c>
      <c r="E72" s="250" t="str">
        <f>IF($I72,Adaptación!$J72,   "--")</f>
        <v>--</v>
      </c>
      <c r="F72" s="95">
        <v>9</v>
      </c>
      <c r="G72" s="370" t="s">
        <v>181</v>
      </c>
      <c r="H72" s="52" t="str">
        <f>IF(Tabla7[[#This Row],[marcar las superadas]],"TR","")</f>
        <v/>
      </c>
      <c r="I72" s="157" t="b">
        <f>Autobaremo!D71</f>
        <v>0</v>
      </c>
      <c r="J72" s="14" t="s">
        <v>67</v>
      </c>
      <c r="K72" s="228">
        <v>6</v>
      </c>
      <c r="L72" s="223" t="b">
        <f>IF(Tabla7[[#This Row],[OPT]]="D",TRUE,Tabla7[[#This Row],[marcar las superadas]])</f>
        <v>0</v>
      </c>
      <c r="M72" s="100">
        <v>4</v>
      </c>
      <c r="N72" s="52">
        <f>VLOOKUP(Tabla7[[#This Row],[ASIGNATURAS Plan 2023]],Autobaremo!$H$10:$L$73,5,FALSE)</f>
        <v>1</v>
      </c>
      <c r="P72" s="55"/>
      <c r="Q72" s="471"/>
      <c r="R72" s="510"/>
      <c r="T72" s="363"/>
      <c r="U72" s="363"/>
      <c r="V72" s="363"/>
      <c r="W72" s="363"/>
      <c r="X72" s="363"/>
      <c r="Y72" s="363"/>
      <c r="Z72" s="363"/>
      <c r="AA72" s="363"/>
      <c r="AB72" s="363"/>
      <c r="AC72" s="363"/>
    </row>
    <row r="73" spans="1:29" ht="24.95" customHeight="1" thickBot="1" x14ac:dyDescent="0.3">
      <c r="A73" s="108"/>
      <c r="B73" s="108" t="s">
        <v>69</v>
      </c>
      <c r="C73" s="314">
        <v>6</v>
      </c>
      <c r="D73" s="82">
        <v>3</v>
      </c>
      <c r="E73" s="250" t="str">
        <f>IF($I73,Adaptación!$J73,   "--")</f>
        <v>--</v>
      </c>
      <c r="F73" s="96">
        <v>9</v>
      </c>
      <c r="G73" s="370" t="str">
        <f t="shared" ref="G73:G78" si="2">IF(   AND($F$6&lt;&gt;3,$F$6&lt;4),"P","")</f>
        <v/>
      </c>
      <c r="H73" s="52" t="s">
        <v>97</v>
      </c>
      <c r="I73" s="157" t="b">
        <f>Autobaremo!D66</f>
        <v>0</v>
      </c>
      <c r="J73" s="14" t="s">
        <v>69</v>
      </c>
      <c r="K73" s="228">
        <v>6</v>
      </c>
      <c r="L73" s="223" t="b">
        <f>IF(Tabla7[[#This Row],[OPT]]="D",TRUE,Tabla7[[#This Row],[marcar las superadas]])</f>
        <v>0</v>
      </c>
      <c r="M73" s="100">
        <v>3</v>
      </c>
      <c r="N73" s="52">
        <f>VLOOKUP(Tabla7[[#This Row],[ASIGNATURAS Plan 2023]],Autobaremo!$H$10:$L$73,5,FALSE)</f>
        <v>2</v>
      </c>
      <c r="P73" s="55"/>
      <c r="Q73" s="472"/>
      <c r="R73" s="510"/>
      <c r="T73" s="363"/>
      <c r="U73" s="363"/>
      <c r="V73" s="363"/>
      <c r="W73" s="363"/>
      <c r="X73" s="363"/>
      <c r="Y73" s="363"/>
      <c r="Z73" s="363"/>
      <c r="AA73" s="363"/>
      <c r="AB73" s="363"/>
      <c r="AC73" s="363"/>
    </row>
    <row r="74" spans="1:29" ht="24.95" customHeight="1" x14ac:dyDescent="0.25">
      <c r="A74" s="108"/>
      <c r="B74" s="303" t="s">
        <v>64</v>
      </c>
      <c r="C74" s="314">
        <v>3</v>
      </c>
      <c r="D74" s="82">
        <v>4</v>
      </c>
      <c r="E74" s="250" t="str">
        <f>IF($I74,Adaptación!$J74,   "--")</f>
        <v>--</v>
      </c>
      <c r="F74" s="95">
        <v>10</v>
      </c>
      <c r="G74" s="370" t="str">
        <f t="shared" si="2"/>
        <v/>
      </c>
      <c r="H74" s="52" t="s">
        <v>97</v>
      </c>
      <c r="I74" s="157" t="b">
        <f>Autobaremo!D69</f>
        <v>0</v>
      </c>
      <c r="J74" s="14" t="s">
        <v>64</v>
      </c>
      <c r="K74" s="228">
        <v>3</v>
      </c>
      <c r="L74" s="223" t="b">
        <f>IF(Tabla7[[#This Row],[OPT]]="D",TRUE,Tabla7[[#This Row],[marcar las superadas]])</f>
        <v>0</v>
      </c>
      <c r="M74" s="100">
        <v>4</v>
      </c>
      <c r="N74" s="52">
        <f>VLOOKUP(Tabla7[[#This Row],[ASIGNATURAS Plan 2023]],Autobaremo!$H$10:$L$73,5,FALSE)</f>
        <v>2</v>
      </c>
      <c r="P74" s="55"/>
      <c r="Q74" s="55"/>
      <c r="R74" s="510"/>
      <c r="T74" s="363"/>
      <c r="U74" s="363"/>
      <c r="V74" s="363"/>
      <c r="W74" s="363"/>
      <c r="X74" s="363"/>
      <c r="Y74" s="363"/>
      <c r="Z74" s="363"/>
      <c r="AA74" s="363"/>
      <c r="AB74" s="363"/>
      <c r="AC74" s="363"/>
    </row>
    <row r="75" spans="1:29" ht="24.95" customHeight="1" x14ac:dyDescent="0.25">
      <c r="A75" s="108"/>
      <c r="B75" s="303" t="s">
        <v>68</v>
      </c>
      <c r="C75" s="314">
        <v>3</v>
      </c>
      <c r="D75" s="82">
        <v>4</v>
      </c>
      <c r="E75" s="250" t="str">
        <f>IF($I75,Adaptación!$J75,   "--")</f>
        <v>--</v>
      </c>
      <c r="F75" s="95">
        <v>10</v>
      </c>
      <c r="G75" s="370" t="str">
        <f t="shared" si="2"/>
        <v/>
      </c>
      <c r="H75" s="52" t="s">
        <v>97</v>
      </c>
      <c r="I75" s="157" t="b">
        <f>Autobaremo!D72</f>
        <v>0</v>
      </c>
      <c r="J75" s="14" t="s">
        <v>68</v>
      </c>
      <c r="K75" s="228">
        <v>3</v>
      </c>
      <c r="L75" s="223" t="b">
        <f>IF(Tabla7[[#This Row],[OPT]]="D",TRUE,Tabla7[[#This Row],[marcar las superadas]])</f>
        <v>0</v>
      </c>
      <c r="M75" s="100">
        <v>4</v>
      </c>
      <c r="N75" s="52">
        <f>VLOOKUP(Tabla7[[#This Row],[ASIGNATURAS Plan 2023]],Autobaremo!$H$10:$L$73,5,FALSE)</f>
        <v>2</v>
      </c>
      <c r="P75" s="55"/>
      <c r="Q75" s="55"/>
      <c r="R75" s="510"/>
      <c r="T75" s="363"/>
      <c r="U75" s="363"/>
      <c r="V75" s="363"/>
      <c r="W75" s="363"/>
      <c r="X75" s="363"/>
      <c r="Y75" s="363"/>
      <c r="Z75" s="363"/>
      <c r="AA75" s="363"/>
      <c r="AB75" s="363"/>
      <c r="AC75" s="363"/>
    </row>
    <row r="76" spans="1:29" ht="24.95" customHeight="1" x14ac:dyDescent="0.25">
      <c r="A76" s="108"/>
      <c r="B76" s="303" t="s">
        <v>70</v>
      </c>
      <c r="C76" s="314">
        <v>6</v>
      </c>
      <c r="D76" s="82">
        <v>4</v>
      </c>
      <c r="E76" s="250" t="str">
        <f>IF($I76,Adaptación!$J76,   "--")</f>
        <v>--</v>
      </c>
      <c r="F76" s="95">
        <v>10</v>
      </c>
      <c r="G76" s="370" t="str">
        <f t="shared" si="2"/>
        <v/>
      </c>
      <c r="H76" s="52" t="s">
        <v>97</v>
      </c>
      <c r="I76" s="157" t="b">
        <f>Autobaremo!D73</f>
        <v>0</v>
      </c>
      <c r="J76" s="14" t="s">
        <v>70</v>
      </c>
      <c r="K76" s="228">
        <v>6</v>
      </c>
      <c r="L76" s="223" t="b">
        <f>IF(Tabla7[[#This Row],[OPT]]="D",TRUE,Tabla7[[#This Row],[marcar las superadas]])</f>
        <v>0</v>
      </c>
      <c r="M76" s="100">
        <v>4</v>
      </c>
      <c r="N76" s="52">
        <f>VLOOKUP(Tabla7[[#This Row],[ASIGNATURAS Plan 2023]],Autobaremo!$H$10:$L$73,5,FALSE)</f>
        <v>1</v>
      </c>
      <c r="P76" s="55"/>
      <c r="Q76" s="55"/>
      <c r="R76" s="510"/>
      <c r="T76" s="363"/>
      <c r="U76" s="363"/>
      <c r="V76" s="363"/>
      <c r="W76" s="363"/>
      <c r="X76" s="363"/>
      <c r="Y76" s="363"/>
      <c r="Z76" s="363"/>
      <c r="AA76" s="363"/>
      <c r="AB76" s="363"/>
      <c r="AC76" s="363"/>
    </row>
    <row r="77" spans="1:29" ht="24.95" customHeight="1" x14ac:dyDescent="0.25">
      <c r="A77" s="108"/>
      <c r="B77" s="303" t="s">
        <v>71</v>
      </c>
      <c r="C77" s="314">
        <v>6</v>
      </c>
      <c r="D77" s="82">
        <v>4</v>
      </c>
      <c r="E77" s="250" t="str">
        <f>IF($I77,Adaptación!$J77,   "--")</f>
        <v>--</v>
      </c>
      <c r="F77" s="95">
        <v>10</v>
      </c>
      <c r="G77" s="370" t="str">
        <f t="shared" si="2"/>
        <v/>
      </c>
      <c r="H77" s="52" t="s">
        <v>97</v>
      </c>
      <c r="I77" s="157" t="b">
        <f>Autobaremo!D67</f>
        <v>0</v>
      </c>
      <c r="J77" s="14" t="s">
        <v>71</v>
      </c>
      <c r="K77" s="228">
        <v>6</v>
      </c>
      <c r="L77" s="223" t="b">
        <f>IF(Tabla7[[#This Row],[OPT]]="D",TRUE,Tabla7[[#This Row],[marcar las superadas]])</f>
        <v>0</v>
      </c>
      <c r="M77" s="100">
        <v>3</v>
      </c>
      <c r="N77" s="52">
        <f>VLOOKUP(Tabla7[[#This Row],[ASIGNATURAS Plan 2023]],Autobaremo!$H$10:$L$73,5,FALSE)</f>
        <v>1</v>
      </c>
      <c r="P77" s="55"/>
      <c r="Q77" s="55"/>
      <c r="R77" s="510"/>
      <c r="T77" s="363"/>
      <c r="U77" s="363"/>
      <c r="V77" s="363"/>
      <c r="W77" s="363"/>
      <c r="X77" s="363"/>
      <c r="Y77" s="363"/>
      <c r="Z77" s="363"/>
      <c r="AA77" s="363"/>
      <c r="AB77" s="363"/>
      <c r="AC77" s="363"/>
    </row>
    <row r="78" spans="1:29" ht="24.95" customHeight="1" thickBot="1" x14ac:dyDescent="0.3">
      <c r="A78" s="108"/>
      <c r="B78" s="303" t="s">
        <v>72</v>
      </c>
      <c r="C78" s="314">
        <v>6</v>
      </c>
      <c r="D78" s="82">
        <v>4</v>
      </c>
      <c r="E78" s="250" t="str">
        <f>IF($I78,Adaptación!$J78,   "--")</f>
        <v>--</v>
      </c>
      <c r="F78" s="95">
        <v>10</v>
      </c>
      <c r="G78" s="370" t="str">
        <f t="shared" si="2"/>
        <v/>
      </c>
      <c r="H78" s="52" t="s">
        <v>97</v>
      </c>
      <c r="I78" s="157" t="b">
        <f>Autobaremo!D68</f>
        <v>0</v>
      </c>
      <c r="J78" s="14" t="s">
        <v>72</v>
      </c>
      <c r="K78" s="228">
        <v>6</v>
      </c>
      <c r="L78" s="223" t="b">
        <f>IF(Tabla7[[#This Row],[OPT]]="D",TRUE,Tabla7[[#This Row],[marcar las superadas]])</f>
        <v>0</v>
      </c>
      <c r="M78" s="100">
        <v>3</v>
      </c>
      <c r="N78" s="52">
        <f>VLOOKUP(Tabla7[[#This Row],[ASIGNATURAS Plan 2023]],Autobaremo!$H$10:$L$73,5,FALSE)</f>
        <v>1</v>
      </c>
      <c r="P78" s="55"/>
      <c r="Q78" s="55"/>
      <c r="R78" s="511"/>
      <c r="T78" s="363"/>
      <c r="U78" s="363"/>
      <c r="V78" s="363"/>
      <c r="W78" s="363"/>
      <c r="X78" s="363"/>
      <c r="Y78" s="363"/>
      <c r="Z78" s="363"/>
      <c r="AA78" s="363"/>
      <c r="AB78" s="363"/>
      <c r="AC78" s="363"/>
    </row>
    <row r="79" spans="1:29" ht="24.95" customHeight="1" x14ac:dyDescent="0.25">
      <c r="B79" s="106" t="s">
        <v>131</v>
      </c>
      <c r="C79" s="323">
        <v>6</v>
      </c>
      <c r="D79" s="278"/>
      <c r="E79" s="286"/>
      <c r="F79" s="324">
        <v>4</v>
      </c>
      <c r="G79" s="325"/>
      <c r="H79" s="52"/>
      <c r="I79" s="335" t="b">
        <v>0</v>
      </c>
      <c r="J79" s="14"/>
      <c r="K79" s="228">
        <v>0</v>
      </c>
      <c r="L79" s="52"/>
      <c r="M79" s="107"/>
      <c r="N79" s="52">
        <v>1</v>
      </c>
      <c r="O79" s="188"/>
      <c r="P79" s="107"/>
      <c r="Q79" s="107"/>
      <c r="R79" s="107"/>
      <c r="T79" s="363"/>
      <c r="U79" s="363"/>
      <c r="V79" s="363"/>
      <c r="W79" s="363"/>
      <c r="X79" s="363"/>
      <c r="Y79" s="363"/>
      <c r="Z79" s="363"/>
      <c r="AA79" s="363"/>
      <c r="AB79" s="363"/>
      <c r="AC79" s="363"/>
    </row>
    <row r="80" spans="1:29" ht="24.95" customHeight="1" x14ac:dyDescent="0.25">
      <c r="B80" s="21" t="s">
        <v>74</v>
      </c>
      <c r="C80" s="289">
        <v>1.5</v>
      </c>
      <c r="D80" s="279">
        <v>0</v>
      </c>
      <c r="E80" s="250" t="str">
        <f>IF($I80,Adaptación!$J80,   "--")</f>
        <v>--</v>
      </c>
      <c r="F80" s="97"/>
      <c r="G80" s="121"/>
      <c r="H80" s="52" t="s">
        <v>93</v>
      </c>
      <c r="I80" s="157" t="b">
        <f>Autobaremo!D24</f>
        <v>0</v>
      </c>
      <c r="J80" s="20" t="str">
        <f>J29</f>
        <v>Mecánica de Suelos y Rocas. Geotecnia</v>
      </c>
      <c r="K80" s="228">
        <v>0</v>
      </c>
      <c r="L80" s="82"/>
      <c r="M80" s="100"/>
      <c r="N80" s="52">
        <f>VLOOKUP(Tabla7[[#This Row],[ASIGNATURAS Plan 2023]],Autobaremo!$H$10:$L$73,5,FALSE)</f>
        <v>0</v>
      </c>
      <c r="O80" s="183"/>
      <c r="P80" s="55"/>
      <c r="Q80" s="55"/>
      <c r="R80" s="58"/>
      <c r="T80" s="363"/>
      <c r="U80" s="363"/>
      <c r="V80" s="363"/>
      <c r="W80" s="363"/>
      <c r="X80" s="363"/>
      <c r="Y80" s="363"/>
      <c r="Z80" s="363"/>
      <c r="AA80" s="363"/>
      <c r="AB80" s="363"/>
      <c r="AC80" s="363"/>
    </row>
    <row r="81" spans="2:29" ht="24.95" customHeight="1" x14ac:dyDescent="0.25">
      <c r="B81" s="21" t="s">
        <v>74</v>
      </c>
      <c r="C81" s="289">
        <v>1.5</v>
      </c>
      <c r="D81" s="279">
        <v>0</v>
      </c>
      <c r="E81" s="250" t="str">
        <f>IF($I81,Adaptación!$J81,   "--")</f>
        <v>--</v>
      </c>
      <c r="F81" s="97"/>
      <c r="G81" s="121"/>
      <c r="H81" s="52" t="s">
        <v>93</v>
      </c>
      <c r="I81" s="157" t="b">
        <f>Autobaremo!D26</f>
        <v>0</v>
      </c>
      <c r="J81" s="20" t="str">
        <f>J30</f>
        <v>Hidráulica e Hidrología</v>
      </c>
      <c r="K81" s="228">
        <v>0</v>
      </c>
      <c r="L81" s="82"/>
      <c r="M81" s="100"/>
      <c r="N81" s="52">
        <f>VLOOKUP(Tabla7[[#This Row],[ASIGNATURAS Plan 2023]],Autobaremo!$H$10:$L$73,5,FALSE)</f>
        <v>0</v>
      </c>
      <c r="O81" s="183"/>
      <c r="P81" s="55"/>
      <c r="Q81" s="55"/>
      <c r="R81" s="55"/>
      <c r="T81" s="363"/>
      <c r="U81" s="363"/>
      <c r="V81" s="363"/>
      <c r="W81" s="363"/>
      <c r="X81" s="363"/>
      <c r="Y81" s="363"/>
      <c r="Z81" s="363"/>
      <c r="AA81" s="363"/>
      <c r="AB81" s="363"/>
      <c r="AC81" s="363"/>
    </row>
    <row r="82" spans="2:29" ht="24.95" customHeight="1" x14ac:dyDescent="0.25">
      <c r="B82" s="21" t="s">
        <v>74</v>
      </c>
      <c r="C82" s="289">
        <v>1.5</v>
      </c>
      <c r="D82" s="279">
        <v>0</v>
      </c>
      <c r="E82" s="250" t="str">
        <f>IF($I82,Adaptación!$J82,   "--")</f>
        <v>--</v>
      </c>
      <c r="F82" s="97"/>
      <c r="G82" s="121"/>
      <c r="H82" s="52" t="s">
        <v>93</v>
      </c>
      <c r="I82" s="157" t="b">
        <f>Autobaremo!D35</f>
        <v>0</v>
      </c>
      <c r="J82" s="20" t="s">
        <v>21</v>
      </c>
      <c r="K82" s="228">
        <v>0</v>
      </c>
      <c r="L82" s="82"/>
      <c r="M82" s="100"/>
      <c r="N82" s="52">
        <f>VLOOKUP(Tabla7[[#This Row],[ASIGNATURAS Plan 2023]],Autobaremo!$H$10:$L$73,5,FALSE)</f>
        <v>0</v>
      </c>
      <c r="O82" s="183"/>
      <c r="P82" s="55"/>
      <c r="Q82" s="55"/>
      <c r="R82" s="55"/>
      <c r="T82" s="363"/>
      <c r="U82" s="363"/>
      <c r="V82" s="363"/>
      <c r="W82" s="363"/>
      <c r="X82" s="363"/>
      <c r="Y82" s="363"/>
      <c r="Z82" s="363"/>
      <c r="AA82" s="363"/>
      <c r="AB82" s="363"/>
      <c r="AC82" s="363"/>
    </row>
    <row r="83" spans="2:29" ht="16.5" thickBot="1" x14ac:dyDescent="0.3">
      <c r="B83" s="21" t="s">
        <v>74</v>
      </c>
      <c r="C83" s="290">
        <v>1.5</v>
      </c>
      <c r="D83" s="280">
        <v>0</v>
      </c>
      <c r="E83" s="252" t="str">
        <f>IF($I83,Adaptación!$J83,   "--")</f>
        <v>--</v>
      </c>
      <c r="F83" s="98"/>
      <c r="G83" s="122"/>
      <c r="H83" s="123" t="s">
        <v>93</v>
      </c>
      <c r="I83" s="159" t="b">
        <f>Autobaremo!D41</f>
        <v>0</v>
      </c>
      <c r="J83" s="124" t="s">
        <v>23</v>
      </c>
      <c r="K83" s="231">
        <v>0</v>
      </c>
      <c r="L83" s="226"/>
      <c r="M83" s="125"/>
      <c r="N83" s="52">
        <f>VLOOKUP(Tabla7[[#This Row],[ASIGNATURAS Plan 2023]],Autobaremo!$H$10:$L$73,5,FALSE)</f>
        <v>0</v>
      </c>
      <c r="O83" s="189"/>
      <c r="P83" s="61"/>
      <c r="Q83" s="61"/>
      <c r="R83" s="61"/>
      <c r="T83" s="363"/>
      <c r="U83" s="363"/>
      <c r="V83" s="363"/>
      <c r="W83" s="363"/>
      <c r="X83" s="363"/>
      <c r="Y83" s="363"/>
      <c r="Z83" s="363"/>
      <c r="AA83" s="363"/>
      <c r="AB83" s="363"/>
      <c r="AC83" s="363"/>
    </row>
    <row r="84" spans="2:29" ht="33.75" customHeight="1" thickBot="1" x14ac:dyDescent="0.3">
      <c r="B84" s="373"/>
      <c r="C84" s="373"/>
      <c r="D84" s="373"/>
      <c r="E84" s="373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363"/>
      <c r="V84" s="363"/>
      <c r="W84" s="363"/>
      <c r="X84" s="363"/>
      <c r="Y84" s="363"/>
      <c r="Z84" s="363"/>
      <c r="AA84" s="363"/>
      <c r="AB84" s="363"/>
      <c r="AC84" s="363"/>
    </row>
    <row r="85" spans="2:29" ht="18.75" customHeight="1" thickBot="1" x14ac:dyDescent="0.3">
      <c r="B85" s="211" t="str">
        <f>IF(C8="????","Falta DNI en la hoja Autobaremo",C8)</f>
        <v>Falta DNI en la hoja Autobaremo</v>
      </c>
      <c r="C85" s="374"/>
      <c r="D85" s="486" t="s">
        <v>123</v>
      </c>
      <c r="E85" s="486"/>
      <c r="F85" s="486"/>
      <c r="G85" s="486"/>
      <c r="H85" s="486"/>
      <c r="I85" s="487"/>
      <c r="J85" s="487"/>
      <c r="K85" s="487"/>
      <c r="L85" s="487"/>
      <c r="M85" s="487"/>
      <c r="N85" s="487"/>
      <c r="O85" s="487"/>
      <c r="P85" s="487"/>
      <c r="Q85" s="487"/>
      <c r="R85" s="488"/>
      <c r="S85" s="116"/>
      <c r="T85" s="363"/>
      <c r="V85" s="363"/>
      <c r="W85" s="363"/>
      <c r="X85" s="363"/>
      <c r="Y85" s="363"/>
      <c r="Z85" s="363"/>
      <c r="AA85" s="363"/>
      <c r="AB85" s="363"/>
      <c r="AC85" s="363"/>
    </row>
    <row r="86" spans="2:29" ht="18.75" x14ac:dyDescent="0.3">
      <c r="B86" s="212" t="str">
        <f>IF(E9="????","Falta nombre completo del estudiante en Autobaremo",E9)</f>
        <v>Falta nombre completo del estudiante en Autobaremo</v>
      </c>
      <c r="C86" s="116"/>
      <c r="S86" s="116"/>
      <c r="T86" s="363"/>
      <c r="U86" s="363"/>
      <c r="V86" s="363"/>
      <c r="W86" s="363"/>
      <c r="X86" s="363"/>
      <c r="Y86" s="363"/>
      <c r="Z86" s="363"/>
      <c r="AA86" s="363"/>
      <c r="AB86" s="363"/>
      <c r="AC86" s="363"/>
    </row>
    <row r="87" spans="2:29" ht="18.75" x14ac:dyDescent="0.3">
      <c r="B87" s="212"/>
      <c r="C87" s="116"/>
      <c r="E87" s="484" t="s">
        <v>200</v>
      </c>
      <c r="F87" s="485"/>
      <c r="G87" s="485"/>
      <c r="H87" s="485"/>
      <c r="I87" s="485"/>
      <c r="J87" s="485"/>
      <c r="K87" s="485"/>
      <c r="L87" s="485"/>
      <c r="M87" s="485"/>
      <c r="N87" s="485"/>
      <c r="O87" s="485"/>
      <c r="P87" s="485"/>
      <c r="Q87" s="485"/>
      <c r="R87" s="485"/>
      <c r="S87" s="116"/>
      <c r="T87" s="363"/>
      <c r="U87" s="363"/>
      <c r="V87" s="363"/>
      <c r="W87" s="363"/>
      <c r="X87" s="363"/>
      <c r="Y87" s="363"/>
      <c r="Z87" s="363"/>
      <c r="AA87" s="363"/>
      <c r="AB87" s="363"/>
      <c r="AC87" s="363"/>
    </row>
    <row r="88" spans="2:29" ht="16.5" thickBot="1" x14ac:dyDescent="0.3">
      <c r="B88" s="72" t="s">
        <v>133</v>
      </c>
      <c r="C88" s="128" t="s">
        <v>154</v>
      </c>
      <c r="D88" s="375" t="s">
        <v>153</v>
      </c>
      <c r="E88" s="376" t="s">
        <v>191</v>
      </c>
      <c r="F88" s="119"/>
      <c r="G88" s="339"/>
      <c r="H88" s="116"/>
      <c r="I88" s="116"/>
      <c r="J88" s="116"/>
      <c r="K88" s="119"/>
      <c r="L88" s="119"/>
      <c r="M88" s="120"/>
      <c r="N88" s="120"/>
      <c r="Q88" s="196" t="s">
        <v>157</v>
      </c>
      <c r="R88" s="197" t="s">
        <v>158</v>
      </c>
      <c r="S88" s="147"/>
      <c r="T88" s="363"/>
      <c r="U88" s="363"/>
      <c r="V88" s="363"/>
      <c r="W88" s="363"/>
      <c r="X88" s="363"/>
      <c r="Y88" s="363"/>
      <c r="Z88" s="363"/>
      <c r="AA88" s="363"/>
      <c r="AB88" s="363"/>
      <c r="AC88" s="363"/>
    </row>
    <row r="89" spans="2:29" x14ac:dyDescent="0.25">
      <c r="B89" s="31" t="s">
        <v>86</v>
      </c>
      <c r="C89" s="191">
        <f>SUMIFS(Tabla1[[ECTS ]],Tabla1[marcar las superadas],"verdadero",Tabla1[[Curso ]],"1")</f>
        <v>0</v>
      </c>
      <c r="D89" s="377">
        <f>60-C89</f>
        <v>60</v>
      </c>
      <c r="E89" s="489">
        <f>SUM(D89:D91)</f>
        <v>180</v>
      </c>
      <c r="F89" s="131"/>
      <c r="G89" s="129"/>
      <c r="H89" s="339"/>
      <c r="I89" s="116"/>
      <c r="J89" s="116"/>
      <c r="K89" s="119"/>
      <c r="L89" s="119"/>
      <c r="M89" s="120"/>
      <c r="N89" s="120"/>
      <c r="Q89" s="356">
        <f>SUMIFS(Tabla1[[ECTS ]],Tabla1[marcar las superadas],"falso",Tabla1[[Curso ]],"1",Tabla1[sem2],"1")</f>
        <v>30</v>
      </c>
      <c r="R89" s="357">
        <f>SUMIFS(Tabla1[[ECTS ]],Tabla1[marcar las superadas],"falso",Tabla1[[Curso ]],"1",Tabla1[sem2],"2")</f>
        <v>30</v>
      </c>
      <c r="S89" s="210" t="str">
        <f>T89&amp;"+"&amp;U89&amp;" asignaturas"</f>
        <v>5+5 asignaturas</v>
      </c>
      <c r="T89" s="1">
        <f>COUNTIFS(Tabla1[marcar las superadas],"falso",Tabla1[[Curso ]],"1",Tabla1[sem2],"1")</f>
        <v>5</v>
      </c>
      <c r="U89" s="1">
        <f>COUNTIFS(Tabla1[marcar las superadas],"falso",Tabla1[[Curso ]],"1",Tabla1[sem2],"2")</f>
        <v>5</v>
      </c>
      <c r="V89" s="363"/>
      <c r="W89" s="363"/>
      <c r="X89" s="363"/>
      <c r="Y89" s="363"/>
      <c r="Z89" s="363"/>
      <c r="AA89" s="363"/>
      <c r="AB89" s="363"/>
      <c r="AC89" s="363"/>
    </row>
    <row r="90" spans="2:29" x14ac:dyDescent="0.25">
      <c r="B90" s="170" t="s">
        <v>87</v>
      </c>
      <c r="C90" s="192">
        <f>SUMIFS(Tabla1[[ECTS ]],Tabla1[marcar las superadas],"verdadero",Tabla1[[Curso ]],"2")</f>
        <v>0</v>
      </c>
      <c r="D90" s="378">
        <f t="shared" ref="D90:D92" si="3">60-C90</f>
        <v>60</v>
      </c>
      <c r="E90" s="490"/>
      <c r="F90" s="171"/>
      <c r="G90" s="172"/>
      <c r="H90" s="173"/>
      <c r="I90" s="174"/>
      <c r="J90" s="174"/>
      <c r="K90" s="175"/>
      <c r="L90" s="175"/>
      <c r="M90" s="171"/>
      <c r="N90" s="120"/>
      <c r="Q90" s="358">
        <f>SUMIFS(Tabla1[[ECTS ]],Tabla1[marcar las superadas],"falso",Tabla1[[Curso ]],"2",Tabla1[sem2],"1")</f>
        <v>30</v>
      </c>
      <c r="R90" s="359">
        <f>SUMIFS(Tabla1[[ECTS ]],Tabla1[marcar las superadas],"falso",Tabla1[[Curso ]],"2",Tabla1[sem2],"2")</f>
        <v>30</v>
      </c>
      <c r="S90" s="210" t="str">
        <f>T90&amp;"+"&amp;U90&amp;" asignaturas"</f>
        <v>5+5 asignaturas</v>
      </c>
      <c r="T90" s="1">
        <f>COUNTIFS(Tabla1[marcar las superadas],"falso",Tabla1[[Curso ]],"2",Tabla1[sem2],"1")</f>
        <v>5</v>
      </c>
      <c r="U90" s="1">
        <f>COUNTIFS(Tabla1[marcar las superadas],"falso",Tabla1[[Curso ]],"2",Tabla1[sem2],"2")</f>
        <v>5</v>
      </c>
      <c r="V90" s="363"/>
      <c r="W90" s="363"/>
      <c r="X90" s="363"/>
      <c r="Y90" s="363"/>
      <c r="Z90" s="363"/>
      <c r="AA90" s="363"/>
      <c r="AB90" s="363"/>
      <c r="AC90" s="363"/>
    </row>
    <row r="91" spans="2:29" x14ac:dyDescent="0.25">
      <c r="B91" s="33" t="s">
        <v>88</v>
      </c>
      <c r="C91" s="193">
        <f>SUMIFS(Tabla7[[ECTS ]],Tabla7[[Curso ]],3,Tabla7[marcar las superadas],TRUE,Tabla7[OPT],"&lt;&gt;X")</f>
        <v>0</v>
      </c>
      <c r="D91" s="378">
        <f t="shared" si="3"/>
        <v>60</v>
      </c>
      <c r="E91" s="490"/>
      <c r="F91" s="120"/>
      <c r="G91" s="339"/>
      <c r="H91" s="339"/>
      <c r="I91" s="116"/>
      <c r="J91" s="116"/>
      <c r="K91" s="119"/>
      <c r="L91" s="119"/>
      <c r="M91" s="120"/>
      <c r="N91" s="120"/>
      <c r="O91" s="47"/>
      <c r="P91" s="47"/>
      <c r="Q91" s="360">
        <f>Q95+Q96</f>
        <v>30</v>
      </c>
      <c r="R91" s="361">
        <f>R95+R96</f>
        <v>30</v>
      </c>
      <c r="S91" s="149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</row>
    <row r="92" spans="2:29" x14ac:dyDescent="0.25">
      <c r="B92" s="33" t="s">
        <v>89</v>
      </c>
      <c r="C92" s="193">
        <f>SUMIFS(Tabla7[[ECTS ]],Tabla7[[Curso ]],4,Tabla7[marcar las superadas],TRUE,Tabla7[OPT],"&lt;&gt;X")</f>
        <v>0</v>
      </c>
      <c r="D92" s="379">
        <f t="shared" si="3"/>
        <v>60</v>
      </c>
      <c r="E92" s="140"/>
      <c r="F92" s="120"/>
      <c r="G92" s="129"/>
      <c r="H92" s="339"/>
      <c r="I92" s="116"/>
      <c r="J92" s="116"/>
      <c r="K92" s="117"/>
      <c r="L92" s="117"/>
      <c r="M92" s="118"/>
      <c r="N92" s="118"/>
      <c r="O92" s="47"/>
      <c r="P92" s="47"/>
      <c r="Q92" s="50">
        <f>Q97+Q98</f>
        <v>36</v>
      </c>
      <c r="R92" s="50">
        <f>R97+R98</f>
        <v>24</v>
      </c>
      <c r="S92" s="148"/>
      <c r="T92" s="363"/>
      <c r="U92" s="363"/>
      <c r="V92" s="363"/>
      <c r="W92" s="363"/>
      <c r="X92" s="363"/>
      <c r="Y92" s="363"/>
      <c r="Z92" s="363"/>
      <c r="AA92" s="363"/>
      <c r="AB92" s="363"/>
      <c r="AC92" s="363"/>
    </row>
    <row r="93" spans="2:29" ht="16.5" thickBot="1" x14ac:dyDescent="0.3">
      <c r="B93" s="36" t="s">
        <v>91</v>
      </c>
      <c r="C93" s="194">
        <f>U4</f>
        <v>0</v>
      </c>
      <c r="D93" s="195"/>
      <c r="F93" s="118"/>
      <c r="G93" s="116"/>
      <c r="H93" s="129"/>
      <c r="I93" s="116"/>
      <c r="J93" s="116"/>
      <c r="K93" s="117"/>
      <c r="L93" s="117"/>
      <c r="M93" s="120"/>
      <c r="N93" s="120"/>
      <c r="P93" s="42"/>
      <c r="Q93" s="116"/>
      <c r="R93" s="47"/>
      <c r="S93" s="47"/>
      <c r="T93" s="363"/>
      <c r="U93" s="363"/>
      <c r="V93" s="363"/>
      <c r="W93" s="363"/>
      <c r="X93" s="363"/>
      <c r="Y93" s="363"/>
      <c r="Z93" s="363"/>
      <c r="AA93" s="363"/>
      <c r="AB93" s="363"/>
      <c r="AC93" s="363"/>
    </row>
    <row r="94" spans="2:29" x14ac:dyDescent="0.25">
      <c r="B94" s="39" t="s">
        <v>182</v>
      </c>
      <c r="C94" s="40">
        <f>SUM(C89:C93)</f>
        <v>0</v>
      </c>
      <c r="D94" s="337"/>
      <c r="F94" s="118"/>
      <c r="G94" s="116"/>
      <c r="H94" s="129"/>
      <c r="I94" s="116"/>
      <c r="J94" s="116"/>
      <c r="K94" s="117"/>
      <c r="L94" s="117"/>
      <c r="M94" s="120"/>
      <c r="N94" s="120"/>
      <c r="P94" s="42"/>
      <c r="Q94" s="116"/>
      <c r="R94" s="47"/>
      <c r="S94" s="47"/>
      <c r="T94" s="363"/>
      <c r="U94" s="363"/>
      <c r="V94" s="363"/>
      <c r="W94" s="363"/>
      <c r="X94" s="363"/>
      <c r="Y94" s="363"/>
      <c r="Z94" s="363"/>
      <c r="AA94" s="363"/>
      <c r="AB94" s="363"/>
      <c r="AC94" s="363"/>
    </row>
    <row r="95" spans="2:29" hidden="1" x14ac:dyDescent="0.25">
      <c r="D95" s="39"/>
      <c r="E95" s="40"/>
      <c r="F95" s="40"/>
      <c r="G95" s="40"/>
      <c r="I95" s="116"/>
      <c r="J95" s="116"/>
      <c r="K95" s="117"/>
      <c r="L95" s="117"/>
      <c r="M95" s="118"/>
      <c r="N95" s="118"/>
      <c r="O95" s="326">
        <v>12</v>
      </c>
      <c r="P95" s="327">
        <f>IF($F$6=1,5,IF($F$6=2,7,9))</f>
        <v>9</v>
      </c>
      <c r="Q95" s="329">
        <f>SUMIFS(Tabla7[[ECTS ]],Tabla7[curso2],5,Tabla7[sem2023],1,Tabla7[OPT],"&lt;&gt;X",Tabla7[marcar las superadas],"falso")</f>
        <v>6</v>
      </c>
      <c r="R95" s="235">
        <f>SUMIFS(Tabla7[[ECTS ]],Tabla7[curso2],5,Tabla7[sem2023],2,Tabla7[OPT],"&lt;&gt;X",Tabla7[marcar las superadas],"falso")</f>
        <v>6</v>
      </c>
      <c r="S95" s="47"/>
      <c r="T95" s="363"/>
      <c r="U95" s="363"/>
      <c r="V95" s="363"/>
      <c r="W95" s="363"/>
      <c r="X95" s="363"/>
      <c r="Y95" s="363"/>
      <c r="Z95" s="363"/>
      <c r="AA95" s="363"/>
      <c r="AB95" s="363"/>
      <c r="AC95" s="363"/>
    </row>
    <row r="96" spans="2:29" ht="16.5" hidden="1" thickBot="1" x14ac:dyDescent="0.3">
      <c r="B96" s="39" t="str">
        <f>IF(K48&gt;0,"+Extracurr.:","")</f>
        <v/>
      </c>
      <c r="C96" s="40" t="str">
        <f>IF(K48&gt;0,K48,"")</f>
        <v/>
      </c>
      <c r="D96" s="39"/>
      <c r="E96" s="40"/>
      <c r="F96" s="40"/>
      <c r="G96" s="40"/>
      <c r="I96" s="116"/>
      <c r="J96" s="116"/>
      <c r="K96" s="117"/>
      <c r="L96" s="117"/>
      <c r="M96" s="118"/>
      <c r="N96" s="118"/>
      <c r="O96" s="326">
        <v>48</v>
      </c>
      <c r="P96" s="327" t="s">
        <v>115</v>
      </c>
      <c r="Q96" s="330">
        <f>SUMIFS(Tabla7[[ECTS ]],Tabla7[curso2],3,Tabla7[sem2023],1,Tabla7[marcar las superadas],"FALSO")</f>
        <v>24</v>
      </c>
      <c r="R96" s="331">
        <f>SUMIFS(Tabla7[[ECTS ]],Tabla7[curso2],3,Tabla7[sem2023],2,Tabla7[marcar las superadas],"FALSO")</f>
        <v>24</v>
      </c>
      <c r="S96" s="47"/>
      <c r="T96" s="363"/>
      <c r="U96" s="363"/>
      <c r="V96" s="363"/>
      <c r="W96" s="363"/>
      <c r="X96" s="363"/>
      <c r="Y96" s="363"/>
      <c r="Z96" s="363"/>
      <c r="AA96" s="363"/>
      <c r="AB96" s="363"/>
      <c r="AC96" s="363"/>
    </row>
    <row r="97" spans="1:29" hidden="1" x14ac:dyDescent="0.25">
      <c r="B97" s="39"/>
      <c r="C97" s="40"/>
      <c r="D97" s="39"/>
      <c r="E97" s="40"/>
      <c r="F97" s="40"/>
      <c r="G97" s="40"/>
      <c r="I97" s="116"/>
      <c r="J97" s="116"/>
      <c r="K97" s="117"/>
      <c r="L97" s="117"/>
      <c r="M97" s="118"/>
      <c r="N97" s="118"/>
      <c r="O97" s="1">
        <v>36</v>
      </c>
      <c r="P97" s="328" t="s">
        <v>199</v>
      </c>
      <c r="Q97" s="336">
        <f>SUMIFS(Tabla7[[ECTS ]],Tabla7[curso2],4,Tabla7[sem2023],1,Tabla7[marcar las superadas],"FALSO")</f>
        <v>18</v>
      </c>
      <c r="R97" s="332">
        <f>SUMIFS(Tabla7[[ECTS ]],Tabla7[curso2],4,Tabla7[sem2023],2,Tabla7[marcar las superadas],"FALSO")</f>
        <v>18</v>
      </c>
      <c r="S97" s="47"/>
      <c r="T97" s="363"/>
      <c r="U97" s="363"/>
      <c r="V97" s="363"/>
      <c r="W97" s="363"/>
      <c r="X97" s="363"/>
      <c r="Y97" s="363"/>
      <c r="Z97" s="363"/>
      <c r="AA97" s="363"/>
      <c r="AB97" s="363"/>
      <c r="AC97" s="363"/>
    </row>
    <row r="98" spans="1:29" ht="16.5" hidden="1" thickBot="1" x14ac:dyDescent="0.3">
      <c r="B98" s="39"/>
      <c r="C98" s="40"/>
      <c r="D98" s="39"/>
      <c r="E98" s="40"/>
      <c r="F98" s="40"/>
      <c r="G98" s="40"/>
      <c r="I98" s="116"/>
      <c r="J98" s="116"/>
      <c r="K98" s="117"/>
      <c r="L98" s="117"/>
      <c r="M98" s="118"/>
      <c r="N98" s="118"/>
      <c r="O98" s="1">
        <v>24</v>
      </c>
      <c r="P98" s="328">
        <f>IF($F$6=1,6,IF($F$6=2,8,10))</f>
        <v>10</v>
      </c>
      <c r="Q98" s="61">
        <f>SUMIFS(Tabla7[[ECTS ]],Tabla7[curso2],$P$98,Tabla7[sem2023],1,Tabla7[OPT],"&lt;&gt;X",Tabla7[marcar las superadas],"falso")</f>
        <v>18</v>
      </c>
      <c r="R98" s="61">
        <f>SUMIFS(Tabla7[[ECTS ]],Tabla7[curso2],$P$98,Tabla7[sem2023],2,Tabla7[OPT],"&lt;&gt;X",Tabla7[marcar las superadas],"falso")</f>
        <v>6</v>
      </c>
      <c r="S98" s="47"/>
      <c r="T98" s="363"/>
      <c r="U98" s="363"/>
      <c r="V98" s="363"/>
      <c r="W98" s="363"/>
      <c r="X98" s="363"/>
      <c r="Y98" s="363"/>
      <c r="Z98" s="363"/>
      <c r="AA98" s="363"/>
      <c r="AB98" s="363"/>
      <c r="AC98" s="363"/>
    </row>
    <row r="99" spans="1:29" ht="39" customHeight="1" thickBot="1" x14ac:dyDescent="0.3">
      <c r="B99" s="219" t="str">
        <f>IF(Autobaremo!F5&lt;4,"Has elegido:",IF(I6&lt;&gt;0,"Mención Automática: Elige tú la correcta!",""))</f>
        <v/>
      </c>
      <c r="C99" s="220"/>
      <c r="D99" s="1"/>
      <c r="E99" s="1"/>
      <c r="F99" s="41"/>
      <c r="G99" s="42"/>
      <c r="I99" s="116"/>
      <c r="J99" s="116"/>
      <c r="K99" s="502"/>
      <c r="L99" s="502"/>
      <c r="M99" s="502"/>
      <c r="N99" s="339"/>
      <c r="S99" s="47"/>
      <c r="T99" s="363"/>
      <c r="U99" s="363"/>
      <c r="V99" s="363"/>
      <c r="W99" s="363"/>
      <c r="X99" s="363"/>
      <c r="Y99" s="363"/>
      <c r="Z99" s="363"/>
      <c r="AA99" s="363"/>
      <c r="AB99" s="363"/>
      <c r="AC99" s="363"/>
    </row>
    <row r="100" spans="1:29" ht="16.5" thickBot="1" x14ac:dyDescent="0.3">
      <c r="B100" s="497" t="str">
        <f>IF(F6&lt;5,    VLOOKUP(F6,Tabla257[],2,FALSE),   "NO HA INDICADO LA MENCIÓN")</f>
        <v>No Definida</v>
      </c>
      <c r="C100" s="498"/>
      <c r="D100" s="152" t="str">
        <f>VLOOKUP(F6,Tabla257[],3,FALSE)</f>
        <v>--</v>
      </c>
      <c r="E100" s="204" t="s">
        <v>171</v>
      </c>
      <c r="F100" s="496"/>
      <c r="G100" s="496"/>
      <c r="H100" s="351"/>
      <c r="I100" s="352"/>
      <c r="J100" s="352"/>
      <c r="K100" s="353"/>
      <c r="L100" s="353"/>
      <c r="M100" s="354"/>
      <c r="N100" s="354"/>
      <c r="O100" s="355"/>
      <c r="P100" s="355"/>
      <c r="Q100" s="197" t="s">
        <v>172</v>
      </c>
      <c r="S100" s="47"/>
      <c r="T100" s="363"/>
      <c r="U100" s="363"/>
      <c r="V100" s="363"/>
      <c r="W100" s="363"/>
      <c r="X100" s="363"/>
      <c r="Y100" s="363"/>
      <c r="Z100" s="363"/>
      <c r="AA100" s="363"/>
      <c r="AB100" s="363"/>
      <c r="AC100" s="363"/>
    </row>
    <row r="101" spans="1:29" x14ac:dyDescent="0.25">
      <c r="A101" s="380">
        <f>48-C101</f>
        <v>48</v>
      </c>
      <c r="B101" s="43" t="s">
        <v>103</v>
      </c>
      <c r="C101" s="381">
        <f>Q101+E101</f>
        <v>0</v>
      </c>
      <c r="D101" s="136" t="s">
        <v>169</v>
      </c>
      <c r="E101" s="147">
        <f>SUMIFS(C47:C49,O47:O49,"COMUN",E47:E49,"&lt;&gt;---")</f>
        <v>0</v>
      </c>
      <c r="F101" s="205"/>
      <c r="G101" s="206"/>
      <c r="H101" s="201"/>
      <c r="I101" s="207"/>
      <c r="J101" s="207"/>
      <c r="K101" s="208"/>
      <c r="L101" s="208"/>
      <c r="M101" s="209"/>
      <c r="N101" s="209"/>
      <c r="O101" s="147"/>
      <c r="Q101" s="147">
        <f>SUMIFS(C51:C78,I51:I78,TRUE,G51:G78,"&lt;&gt;X",G51:G78,"&lt;&gt;P")</f>
        <v>0</v>
      </c>
      <c r="S101" s="47"/>
      <c r="T101" s="363"/>
      <c r="U101" s="363"/>
      <c r="V101" s="363"/>
      <c r="W101" s="363"/>
      <c r="X101" s="363"/>
      <c r="Y101" s="363"/>
      <c r="Z101" s="363"/>
      <c r="AA101" s="363"/>
      <c r="AB101" s="363"/>
      <c r="AC101" s="363"/>
    </row>
    <row r="102" spans="1:29" ht="16.5" thickBot="1" x14ac:dyDescent="0.3">
      <c r="A102" s="382">
        <f>12-C102</f>
        <v>12</v>
      </c>
      <c r="B102" s="45" t="s">
        <v>104</v>
      </c>
      <c r="C102" s="46">
        <f>SUMIFS(Tabla7[[ECTS ]],Tabla7[adap2],TRUE,Tabla7[OPT],"P",Tabla7[ADAPTACIÓN
POR…],"&lt;&gt;(*)")</f>
        <v>0</v>
      </c>
      <c r="D102" s="136" t="s">
        <v>173</v>
      </c>
      <c r="E102" s="1"/>
      <c r="F102" s="39"/>
      <c r="G102" s="130"/>
      <c r="I102" s="103"/>
      <c r="J102" s="103"/>
      <c r="K102" s="103"/>
      <c r="L102" s="103"/>
      <c r="O102" s="47"/>
      <c r="P102" s="47"/>
      <c r="Q102" s="47"/>
      <c r="R102" s="47"/>
      <c r="S102" s="47"/>
      <c r="T102" s="363"/>
      <c r="U102" s="363"/>
      <c r="V102" s="363"/>
      <c r="W102" s="363"/>
      <c r="X102" s="363"/>
      <c r="Y102" s="363"/>
      <c r="Z102" s="363"/>
      <c r="AA102" s="363"/>
      <c r="AB102" s="363"/>
      <c r="AC102" s="363"/>
    </row>
    <row r="103" spans="1:29" x14ac:dyDescent="0.25">
      <c r="B103" s="221" t="str">
        <f>IF(AND(F6&lt;&gt;I5,F6&lt;4),"Mención correcta??","")</f>
        <v/>
      </c>
      <c r="C103" s="138" t="s">
        <v>110</v>
      </c>
      <c r="D103" s="139"/>
      <c r="E103" s="47"/>
      <c r="F103" s="47"/>
      <c r="G103" s="47"/>
      <c r="H103" s="47"/>
      <c r="I103" s="47"/>
      <c r="J103" s="47"/>
      <c r="K103" s="47" t="str">
        <f>IF(M92+M101&gt;23,"Puede usar la Opt. sobrante como Oblig. de una Mención:","")</f>
        <v/>
      </c>
      <c r="L103" s="47"/>
      <c r="M103" s="47"/>
      <c r="N103" s="47"/>
      <c r="O103" s="47"/>
      <c r="P103" s="47"/>
      <c r="Q103" s="47"/>
      <c r="R103" s="47"/>
      <c r="S103" s="47"/>
      <c r="T103" s="363"/>
      <c r="U103" s="363"/>
      <c r="V103" s="363"/>
      <c r="W103" s="363"/>
      <c r="X103" s="363"/>
      <c r="Y103" s="363"/>
      <c r="Z103" s="363"/>
      <c r="AA103" s="363"/>
      <c r="AB103" s="363"/>
      <c r="AC103" s="363"/>
    </row>
    <row r="104" spans="1:29" ht="59.25" customHeight="1" x14ac:dyDescent="0.25">
      <c r="B104" s="137"/>
      <c r="C104" s="138"/>
      <c r="D104" s="139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363"/>
      <c r="U104" s="363"/>
      <c r="V104" s="363"/>
      <c r="W104" s="363"/>
      <c r="X104" s="363"/>
      <c r="Y104" s="363"/>
      <c r="Z104" s="363"/>
      <c r="AA104" s="363"/>
      <c r="AB104" s="363"/>
      <c r="AC104" s="363"/>
    </row>
    <row r="105" spans="1:29" ht="23.25" customHeight="1" thickBot="1" x14ac:dyDescent="0.3">
      <c r="B105" s="160" t="s">
        <v>151</v>
      </c>
      <c r="C105" s="491" t="s">
        <v>123</v>
      </c>
      <c r="D105" s="491"/>
      <c r="E105" s="491"/>
      <c r="F105" s="491"/>
      <c r="G105" s="491"/>
      <c r="H105" s="492" t="s">
        <v>200</v>
      </c>
      <c r="I105" s="491"/>
      <c r="J105" s="491"/>
      <c r="S105" s="47"/>
    </row>
    <row r="106" spans="1:29" s="383" customFormat="1" ht="34.5" customHeight="1" thickTop="1" x14ac:dyDescent="0.25">
      <c r="B106" s="240" t="s">
        <v>150</v>
      </c>
      <c r="C106" s="241">
        <f>IF(K48&lt;=0,C12,    "("&amp;C12&amp;"-"&amp;K48&amp;")")</f>
        <v>0</v>
      </c>
      <c r="D106" s="242" t="str">
        <f>"crds. superados en total en su expediente (por "&amp;D12&amp;" en el nuevo plan) "</f>
        <v xml:space="preserve">crds. superados en total en su expediente (por 0 en el nuevo plan) </v>
      </c>
      <c r="E106" s="243"/>
      <c r="F106" s="243"/>
      <c r="G106" s="243"/>
      <c r="H106" s="243"/>
      <c r="I106" s="243" t="str">
        <f>IF(K48&lt;&gt;0,"(NOTA: "&amp;K48&amp;" crs. pasan a Extracurriculares.)","")</f>
        <v/>
      </c>
      <c r="J106" s="243"/>
      <c r="K106" s="243"/>
      <c r="L106" s="243"/>
      <c r="M106" s="243"/>
      <c r="N106" s="243"/>
      <c r="O106" s="243"/>
      <c r="P106" s="243"/>
      <c r="Q106" s="243"/>
      <c r="R106" s="396"/>
      <c r="S106" s="244"/>
      <c r="T106" s="153"/>
      <c r="U106" s="153"/>
      <c r="V106" s="153"/>
      <c r="W106" s="153"/>
      <c r="X106" s="153"/>
      <c r="Y106" s="153"/>
      <c r="Z106" s="153"/>
      <c r="AA106" s="153"/>
      <c r="AB106" s="153"/>
      <c r="AC106" s="153"/>
    </row>
    <row r="107" spans="1:29" ht="33.75" customHeight="1" x14ac:dyDescent="0.25">
      <c r="B107" s="176" t="s">
        <v>189</v>
      </c>
      <c r="C107" s="347" t="s">
        <v>190</v>
      </c>
      <c r="D107" s="347"/>
      <c r="E107" s="346"/>
      <c r="F107" s="346"/>
      <c r="G107" s="346"/>
      <c r="H107" s="346"/>
      <c r="I107" s="346"/>
      <c r="J107" s="346"/>
      <c r="K107" s="346"/>
      <c r="L107" s="346"/>
      <c r="M107" s="346"/>
      <c r="N107" s="346"/>
      <c r="O107" s="346"/>
      <c r="P107" s="348"/>
      <c r="Q107" s="349" t="str">
        <f>E89&amp;"crs.)"</f>
        <v>180crs.)</v>
      </c>
      <c r="R107" s="345"/>
      <c r="S107" s="350"/>
    </row>
    <row r="108" spans="1:29" s="383" customFormat="1" ht="39" customHeight="1" thickBot="1" x14ac:dyDescent="0.3">
      <c r="B108" s="343" t="s">
        <v>203</v>
      </c>
      <c r="C108" s="395"/>
      <c r="D108" s="245"/>
      <c r="E108" s="246"/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  <c r="R108" s="397"/>
      <c r="S108" s="247"/>
      <c r="T108" s="153"/>
      <c r="U108" s="153"/>
      <c r="V108" s="153"/>
      <c r="W108" s="153"/>
      <c r="X108" s="153"/>
      <c r="Y108" s="153"/>
      <c r="Z108" s="153"/>
      <c r="AA108" s="153"/>
      <c r="AB108" s="153"/>
      <c r="AC108" s="153"/>
    </row>
    <row r="109" spans="1:29" ht="51.75" customHeight="1" thickTop="1" x14ac:dyDescent="0.25"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</row>
    <row r="110" spans="1:29" ht="27.75" customHeight="1" x14ac:dyDescent="0.25">
      <c r="B110" s="269" t="s">
        <v>180</v>
      </c>
      <c r="C110" s="384" t="str">
        <f>IF(K48&lt;&gt;0,-K48&amp;" crs. Extracurriculares","")</f>
        <v/>
      </c>
      <c r="D110" s="272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</row>
    <row r="111" spans="1:29" ht="16.5" thickBot="1" x14ac:dyDescent="0.3">
      <c r="C111" s="385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</row>
    <row r="112" spans="1:29" x14ac:dyDescent="0.25">
      <c r="A112" s="385">
        <f>COUNTIFS(E51:E78,"*(~*)*",I51:I78,TRUE)</f>
        <v>0</v>
      </c>
      <c r="B112" s="386" t="str">
        <f>IF(A112&gt;0," (*) Usada para otra Mención","")</f>
        <v/>
      </c>
      <c r="C112" s="135"/>
      <c r="D112" s="135"/>
      <c r="E112" s="235"/>
      <c r="F112" s="23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</row>
    <row r="113" spans="1:19" ht="16.5" thickBot="1" x14ac:dyDescent="0.3">
      <c r="A113" s="385"/>
      <c r="B113" s="387"/>
      <c r="C113" s="271" t="str">
        <f>IF(A112&gt;0,A112&amp;" caso/s","")</f>
        <v/>
      </c>
      <c r="D113" s="238"/>
      <c r="E113" s="236"/>
      <c r="F113" s="239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</row>
    <row r="114" spans="1:19" ht="16.5" thickBot="1" x14ac:dyDescent="0.3">
      <c r="A114" s="385"/>
      <c r="B114" s="47"/>
      <c r="C114" s="47"/>
      <c r="D114" s="47"/>
      <c r="E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</row>
    <row r="115" spans="1:19" x14ac:dyDescent="0.25">
      <c r="A115" s="385">
        <f>COUNTIFS(E51:E78,"*(~*~*)*",I51:I78,TRUE)</f>
        <v>0</v>
      </c>
      <c r="B115" s="270" t="str">
        <f>IF(A115&gt;0,"  (**)  Se adapta por la cursada en otra Mención.","")</f>
        <v/>
      </c>
      <c r="C115" s="135"/>
      <c r="D115" s="135"/>
      <c r="E115" s="235"/>
      <c r="F115" s="23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</row>
    <row r="116" spans="1:19" ht="16.5" thickBot="1" x14ac:dyDescent="0.3">
      <c r="B116" s="248"/>
      <c r="C116" s="271" t="str">
        <f>IF(A115&gt;0,A115&amp;" caso/s","")</f>
        <v/>
      </c>
      <c r="D116" s="238"/>
      <c r="E116" s="236"/>
      <c r="F116" s="239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</row>
    <row r="117" spans="1:19" ht="16.5" thickBot="1" x14ac:dyDescent="0.3">
      <c r="E117" s="388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</row>
    <row r="118" spans="1:19" x14ac:dyDescent="0.25">
      <c r="A118" s="385">
        <f>J48</f>
        <v>0</v>
      </c>
      <c r="B118" s="270" t="str">
        <f>IF(J48&gt;0," (***) asig. cursada/s en dos Menciones: una pasará a Extracurricular","")</f>
        <v/>
      </c>
      <c r="C118" s="389"/>
      <c r="D118" s="389"/>
      <c r="E118" s="390"/>
      <c r="F118" s="235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</row>
    <row r="119" spans="1:19" ht="16.5" thickBot="1" x14ac:dyDescent="0.3">
      <c r="B119" s="391" t="str">
        <f>IF(J48&gt;0,J48&amp;" caso/s","")</f>
        <v/>
      </c>
      <c r="C119" s="392" t="str">
        <f>IF(J48&gt;0,"("&amp;K48&amp;" crds. pasan a Extracurricular)","")</f>
        <v/>
      </c>
      <c r="D119" s="393"/>
      <c r="E119" s="394"/>
      <c r="F119" s="236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</row>
    <row r="120" spans="1:19" x14ac:dyDescent="0.25">
      <c r="B120" s="388"/>
      <c r="C120" s="388"/>
      <c r="D120" s="388"/>
      <c r="E120" s="388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</row>
    <row r="121" spans="1:19" x14ac:dyDescent="0.25">
      <c r="B121" s="388"/>
      <c r="C121" s="388"/>
      <c r="D121" s="388"/>
      <c r="E121" s="388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</row>
    <row r="122" spans="1:19" x14ac:dyDescent="0.25">
      <c r="B122" s="388"/>
      <c r="C122" s="388"/>
      <c r="D122" s="388"/>
      <c r="E122" s="388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</row>
    <row r="123" spans="1:19" x14ac:dyDescent="0.25">
      <c r="B123" s="388"/>
      <c r="C123" s="388"/>
      <c r="D123" s="388"/>
      <c r="E123" s="388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</row>
    <row r="124" spans="1:19" x14ac:dyDescent="0.25">
      <c r="B124" s="388"/>
      <c r="C124" s="388"/>
      <c r="D124" s="388"/>
      <c r="E124" s="388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</row>
    <row r="125" spans="1:19" x14ac:dyDescent="0.25">
      <c r="B125" s="388"/>
      <c r="C125" s="388"/>
      <c r="D125" s="388"/>
      <c r="E125" s="388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</row>
    <row r="126" spans="1:19" x14ac:dyDescent="0.25">
      <c r="B126" s="388"/>
      <c r="C126" s="388"/>
      <c r="D126" s="388"/>
      <c r="E126" s="388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</row>
    <row r="127" spans="1:19" x14ac:dyDescent="0.25">
      <c r="B127" s="388"/>
      <c r="C127" s="388"/>
      <c r="D127" s="388"/>
      <c r="E127" s="388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</row>
    <row r="128" spans="1:19" x14ac:dyDescent="0.25">
      <c r="B128" s="388"/>
      <c r="C128" s="388"/>
      <c r="D128" s="388"/>
      <c r="E128" s="388"/>
      <c r="F128" s="47"/>
      <c r="G128" s="47"/>
      <c r="H128" s="47"/>
      <c r="I128" s="47"/>
      <c r="J128" s="47"/>
      <c r="K128" s="47"/>
      <c r="L128" s="47"/>
      <c r="M128" s="47"/>
      <c r="N128" s="47"/>
    </row>
  </sheetData>
  <sheetProtection algorithmName="SHA-512" hashValue="i/D8kD4qOptf1qUbWDRSm4Vrpl9qa+m/UGbMP/4l5+hNNz0Uzfk/gRAZo/YgSCMsZmdoR0Fb9MaQXgVo0SCXKg==" saltValue="1zm0wOtVYRaERff0VmfQBQ==" spinCount="100000" sheet="1" objects="1" scenarios="1"/>
  <mergeCells count="31">
    <mergeCell ref="F12:H12"/>
    <mergeCell ref="E87:R87"/>
    <mergeCell ref="D85:R85"/>
    <mergeCell ref="E89:E91"/>
    <mergeCell ref="C105:G105"/>
    <mergeCell ref="H105:J105"/>
    <mergeCell ref="O12:R12"/>
    <mergeCell ref="F100:G100"/>
    <mergeCell ref="B100:C100"/>
    <mergeCell ref="R47:R49"/>
    <mergeCell ref="K99:M99"/>
    <mergeCell ref="P15:P34"/>
    <mergeCell ref="Q15:Q40"/>
    <mergeCell ref="R15:R45"/>
    <mergeCell ref="R71:R78"/>
    <mergeCell ref="Q71:Q73"/>
    <mergeCell ref="Q51:Q53"/>
    <mergeCell ref="R51:R58"/>
    <mergeCell ref="Q61:Q63"/>
    <mergeCell ref="R61:R68"/>
    <mergeCell ref="Q47:Q49"/>
    <mergeCell ref="U3:AC3"/>
    <mergeCell ref="O10:R10"/>
    <mergeCell ref="O11:R11"/>
    <mergeCell ref="B6:E6"/>
    <mergeCell ref="C9:D9"/>
    <mergeCell ref="C8:D8"/>
    <mergeCell ref="B11:C11"/>
    <mergeCell ref="G6:H6"/>
    <mergeCell ref="E9:F9"/>
    <mergeCell ref="B10:E10"/>
  </mergeCells>
  <phoneticPr fontId="19" type="noConversion"/>
  <conditionalFormatting sqref="B15:B45">
    <cfRule type="expression" dxfId="52" priority="41">
      <formula>$I15</formula>
    </cfRule>
  </conditionalFormatting>
  <conditionalFormatting sqref="B47:B49 B51:B58 A60:A67 B60:B68 B70:B78">
    <cfRule type="expression" dxfId="51" priority="8">
      <formula>$I47</formula>
    </cfRule>
  </conditionalFormatting>
  <conditionalFormatting sqref="B50">
    <cfRule type="expression" dxfId="50" priority="11">
      <formula>F6=1</formula>
    </cfRule>
  </conditionalFormatting>
  <conditionalFormatting sqref="B59">
    <cfRule type="expression" dxfId="49" priority="10">
      <formula>F6=2</formula>
    </cfRule>
  </conditionalFormatting>
  <conditionalFormatting sqref="B69">
    <cfRule type="expression" dxfId="48" priority="9">
      <formula>F6=3</formula>
    </cfRule>
  </conditionalFormatting>
  <conditionalFormatting sqref="B85:B87 C86:C87">
    <cfRule type="cellIs" dxfId="47" priority="21" operator="notEqual">
      <formula>""</formula>
    </cfRule>
  </conditionalFormatting>
  <conditionalFormatting sqref="B99">
    <cfRule type="cellIs" dxfId="46" priority="6" operator="notEqual">
      <formula>"Has elegido:"</formula>
    </cfRule>
  </conditionalFormatting>
  <conditionalFormatting sqref="B100:C100">
    <cfRule type="cellIs" dxfId="45" priority="27" operator="equal">
      <formula>"NO HA INDICADO LA MENCIÓN"</formula>
    </cfRule>
  </conditionalFormatting>
  <conditionalFormatting sqref="C101">
    <cfRule type="cellIs" dxfId="44" priority="20" operator="greaterThanOrEqual">
      <formula>48</formula>
    </cfRule>
  </conditionalFormatting>
  <conditionalFormatting sqref="C102">
    <cfRule type="cellIs" dxfId="43" priority="18" operator="greaterThanOrEqual">
      <formula>12</formula>
    </cfRule>
  </conditionalFormatting>
  <conditionalFormatting sqref="C103:C104">
    <cfRule type="expression" dxfId="42" priority="32">
      <formula>$B$103&gt;0</formula>
    </cfRule>
  </conditionalFormatting>
  <conditionalFormatting sqref="C9:D9">
    <cfRule type="cellIs" dxfId="41" priority="22" operator="equal">
      <formula>0</formula>
    </cfRule>
  </conditionalFormatting>
  <conditionalFormatting sqref="C103:D104">
    <cfRule type="expression" dxfId="40" priority="39">
      <formula>$B$103&gt;0</formula>
    </cfRule>
  </conditionalFormatting>
  <conditionalFormatting sqref="D13">
    <cfRule type="cellIs" dxfId="39" priority="14" operator="lessThan">
      <formula>0</formula>
    </cfRule>
  </conditionalFormatting>
  <conditionalFormatting sqref="E15:E83">
    <cfRule type="cellIs" dxfId="38" priority="26" operator="equal">
      <formula>"--"</formula>
    </cfRule>
  </conditionalFormatting>
  <conditionalFormatting sqref="E51">
    <cfRule type="expression" dxfId="37" priority="5">
      <formula>AND($E$51&lt;&gt;"--",$E$63&lt;&gt;"--")</formula>
    </cfRule>
  </conditionalFormatting>
  <conditionalFormatting sqref="E53 E71">
    <cfRule type="expression" dxfId="36" priority="63">
      <formula>AND($E$53&lt;&gt;"--",$E$71&lt;&gt;"--")</formula>
    </cfRule>
  </conditionalFormatting>
  <conditionalFormatting sqref="E63">
    <cfRule type="expression" dxfId="35" priority="4">
      <formula>AND($E$51&lt;&gt;"--",$E$63&lt;&gt;"--")</formula>
    </cfRule>
  </conditionalFormatting>
  <conditionalFormatting sqref="E89">
    <cfRule type="cellIs" dxfId="34" priority="15" operator="lessThan">
      <formula>24</formula>
    </cfRule>
    <cfRule type="cellIs" dxfId="33" priority="16" operator="between">
      <formula>24</formula>
      <formula>59</formula>
    </cfRule>
    <cfRule type="cellIs" dxfId="32" priority="17" operator="greaterThanOrEqual">
      <formula>60</formula>
    </cfRule>
  </conditionalFormatting>
  <conditionalFormatting sqref="E92">
    <cfRule type="expression" dxfId="31" priority="66">
      <formula>#REF!&gt;0</formula>
    </cfRule>
  </conditionalFormatting>
  <conditionalFormatting sqref="F100:G100">
    <cfRule type="cellIs" dxfId="30" priority="30" operator="equal">
      <formula>"NO HA INDICADO LA MENCIÓN"</formula>
    </cfRule>
  </conditionalFormatting>
  <conditionalFormatting sqref="I106">
    <cfRule type="cellIs" dxfId="29" priority="7" operator="notEqual">
      <formula>""</formula>
    </cfRule>
  </conditionalFormatting>
  <conditionalFormatting sqref="K99:N99">
    <cfRule type="cellIs" dxfId="28" priority="35" operator="equal">
      <formula>"NO HA INDICADO LA MENCIÓN"</formula>
    </cfRule>
  </conditionalFormatting>
  <conditionalFormatting sqref="K103:N104">
    <cfRule type="expression" dxfId="27" priority="40">
      <formula>$K$103&lt;&gt;""</formula>
    </cfRule>
  </conditionalFormatting>
  <conditionalFormatting sqref="O46:R46">
    <cfRule type="cellIs" dxfId="26" priority="24" operator="equal">
      <formula>"--"</formula>
    </cfRule>
    <cfRule type="expression" dxfId="25" priority="25">
      <formula>$I46</formula>
    </cfRule>
  </conditionalFormatting>
  <printOptions horizontalCentered="1"/>
  <pageMargins left="0.7" right="0.7" top="0.24" bottom="0.31" header="0.16" footer="0.18"/>
  <pageSetup paperSize="9" scale="84" fitToHeight="0" orientation="portrait" r:id="rId1"/>
  <rowBreaks count="2" manualBreakCount="2">
    <brk id="45" min="1" max="17" man="1"/>
    <brk id="83" min="1" max="17" man="1"/>
  </rowBreaks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43308713-B015-4CA2-A865-4F94D142FED7}">
            <xm:f>Autobaremo!G5=4</xm:f>
            <x14:dxf>
              <font>
                <b/>
                <i val="0"/>
                <color rgb="FFFF0000"/>
              </font>
            </x14:dxf>
          </x14:cfRule>
          <xm:sqref>F6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186140A728C4C4C9AABB40A39402245" ma:contentTypeVersion="2" ma:contentTypeDescription="Crear nuevo documento." ma:contentTypeScope="" ma:versionID="5c9f4cf0885aeaed8a478951534b71a1">
  <xsd:schema xmlns:xsd="http://www.w3.org/2001/XMLSchema" xmlns:xs="http://www.w3.org/2001/XMLSchema" xmlns:p="http://schemas.microsoft.com/office/2006/metadata/properties" xmlns:ns3="24cd141f-bede-4d27-a4fa-fd3e1af1d443" targetNamespace="http://schemas.microsoft.com/office/2006/metadata/properties" ma:root="true" ma:fieldsID="241642bbbdd796d3389d7722ccbbc9f0" ns3:_="">
    <xsd:import namespace="24cd141f-bede-4d27-a4fa-fd3e1af1d44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cd141f-bede-4d27-a4fa-fd3e1af1d4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908757-96AA-45E9-AB10-A7809161D3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A7A1F1-F6B1-444B-B45F-584DB82B0555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24cd141f-bede-4d27-a4fa-fd3e1af1d443"/>
  </ds:schemaRefs>
</ds:datastoreItem>
</file>

<file path=customXml/itemProps3.xml><?xml version="1.0" encoding="utf-8"?>
<ds:datastoreItem xmlns:ds="http://schemas.openxmlformats.org/officeDocument/2006/customXml" ds:itemID="{B4019276-F08A-4B65-BEC8-6B8E725AA7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cd141f-bede-4d27-a4fa-fd3e1af1d4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Instrucciones</vt:lpstr>
      <vt:lpstr>Autobaremo</vt:lpstr>
      <vt:lpstr>Adaptación</vt:lpstr>
      <vt:lpstr>Adaptación!Área_de_impresión</vt:lpstr>
      <vt:lpstr>Adaptación!Títulos_a_imprimir</vt:lpstr>
      <vt:lpstr>Autobaremo!Títulos_a_imprimir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Salcedo</dc:creator>
  <cp:lastModifiedBy>Manuel Salcedo Visiedo</cp:lastModifiedBy>
  <cp:lastPrinted>2025-03-26T09:21:20Z</cp:lastPrinted>
  <dcterms:created xsi:type="dcterms:W3CDTF">2023-04-04T06:07:21Z</dcterms:created>
  <dcterms:modified xsi:type="dcterms:W3CDTF">2025-07-01T07:36:25Z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0x0101002186140A728C4C4C9AABB40A39402245</vt:lpwstr>
  </property>
</Properties>
</file>